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9"/>
  </bookViews>
  <sheets>
    <sheet name="assistenterp" sheetId="1" r:id="rId1"/>
    <sheet name="redator" sheetId="2" r:id="rId2"/>
    <sheet name="editor" sheetId="3" r:id="rId3"/>
    <sheet name="designer" sheetId="5" r:id="rId4"/>
    <sheet name="assistenteadm" sheetId="7" r:id="rId5"/>
    <sheet name="redatorad" sheetId="9" r:id="rId6"/>
    <sheet name="designerad" sheetId="10" r:id="rId7"/>
    <sheet name="horaextra" sheetId="8" r:id="rId8"/>
    <sheet name="diáriasdeslocamentos" sheetId="11" r:id="rId9"/>
    <sheet name="total" sheetId="12" r:id="rId10"/>
  </sheets>
  <definedNames>
    <definedName name="_xlnm.Print_Area" localSheetId="9">total!$A$1:$F$44</definedName>
    <definedName name="_xlnm.Print_Titles" localSheetId="7">horaextra!$1:$1</definedName>
  </definedNames>
  <calcPr calcId="145621"/>
</workbook>
</file>

<file path=xl/calcChain.xml><?xml version="1.0" encoding="utf-8"?>
<calcChain xmlns="http://schemas.openxmlformats.org/spreadsheetml/2006/main">
  <c r="B39" i="12" l="1"/>
  <c r="B38" i="12"/>
  <c r="B37" i="12"/>
  <c r="B36" i="12"/>
  <c r="B35" i="12"/>
  <c r="B32" i="12"/>
  <c r="B31" i="12"/>
  <c r="B30" i="12"/>
  <c r="C94" i="10"/>
  <c r="C93" i="10"/>
  <c r="C92" i="10"/>
  <c r="C91" i="10"/>
  <c r="C90" i="10"/>
  <c r="C80" i="10"/>
  <c r="D80" i="10" s="1"/>
  <c r="C79" i="10"/>
  <c r="D78" i="10"/>
  <c r="D79" i="10" s="1"/>
  <c r="C78" i="10"/>
  <c r="C77" i="10"/>
  <c r="D77" i="10" s="1"/>
  <c r="C75" i="10"/>
  <c r="D75" i="10" s="1"/>
  <c r="D15" i="12"/>
  <c r="D14" i="12"/>
  <c r="C14" i="12"/>
  <c r="B15" i="12"/>
  <c r="B14" i="12"/>
  <c r="C9" i="12"/>
  <c r="C8" i="12"/>
  <c r="C6" i="12"/>
  <c r="D9" i="12"/>
  <c r="E9" i="12" s="1"/>
  <c r="F9" i="12" s="1"/>
  <c r="D8" i="12"/>
  <c r="D7" i="12"/>
  <c r="D6" i="12"/>
  <c r="B9" i="12"/>
  <c r="B8" i="12"/>
  <c r="B7" i="12"/>
  <c r="B6" i="12"/>
  <c r="D149" i="5"/>
  <c r="D149" i="7"/>
  <c r="D149" i="9"/>
  <c r="D149" i="2"/>
  <c r="D149" i="1"/>
  <c r="C5" i="12" s="1"/>
  <c r="D5" i="12"/>
  <c r="B5" i="12"/>
  <c r="B13" i="11"/>
  <c r="C13" i="11" s="1"/>
  <c r="C14" i="11" s="1"/>
  <c r="B7" i="11"/>
  <c r="C6" i="11"/>
  <c r="N32" i="8"/>
  <c r="L32" i="8"/>
  <c r="J32" i="8"/>
  <c r="H32" i="8"/>
  <c r="F32" i="8"/>
  <c r="D32" i="8"/>
  <c r="B32" i="8"/>
  <c r="O26" i="8"/>
  <c r="M26" i="8"/>
  <c r="K26" i="8"/>
  <c r="I26" i="8"/>
  <c r="G26" i="8"/>
  <c r="E26" i="8"/>
  <c r="C26" i="8"/>
  <c r="N21" i="8"/>
  <c r="L21" i="8"/>
  <c r="J21" i="8"/>
  <c r="H21" i="8"/>
  <c r="F21" i="8"/>
  <c r="D21" i="8"/>
  <c r="B21" i="8"/>
  <c r="N4" i="8"/>
  <c r="N24" i="8" s="1"/>
  <c r="H4" i="8"/>
  <c r="H17" i="8" s="1"/>
  <c r="N11" i="8"/>
  <c r="N27" i="8" s="1"/>
  <c r="H11" i="8"/>
  <c r="H27" i="8" s="1"/>
  <c r="N9" i="8"/>
  <c r="H9" i="8"/>
  <c r="N7" i="8"/>
  <c r="H7" i="8"/>
  <c r="O5" i="8"/>
  <c r="O6" i="8" s="1"/>
  <c r="I5" i="8"/>
  <c r="I6" i="8" s="1"/>
  <c r="L11" i="8"/>
  <c r="L27" i="8" s="1"/>
  <c r="D11" i="8"/>
  <c r="D27" i="8" s="1"/>
  <c r="L9" i="8"/>
  <c r="D9" i="8"/>
  <c r="L7" i="8"/>
  <c r="D7" i="8"/>
  <c r="M5" i="8"/>
  <c r="M6" i="8" s="1"/>
  <c r="E5" i="8"/>
  <c r="L4" i="8"/>
  <c r="L24" i="8" s="1"/>
  <c r="D4" i="8"/>
  <c r="D17" i="8" s="1"/>
  <c r="D146" i="10"/>
  <c r="D142" i="10"/>
  <c r="C136" i="10"/>
  <c r="C129" i="10"/>
  <c r="D121" i="10"/>
  <c r="D56" i="10"/>
  <c r="D60" i="10" s="1"/>
  <c r="D68" i="10" s="1"/>
  <c r="C50" i="10"/>
  <c r="C35" i="10"/>
  <c r="C36" i="10" s="1"/>
  <c r="D34" i="10"/>
  <c r="C34" i="10"/>
  <c r="D26" i="10"/>
  <c r="C94" i="9"/>
  <c r="C93" i="9"/>
  <c r="C92" i="9"/>
  <c r="C90" i="9"/>
  <c r="C80" i="9"/>
  <c r="C78" i="9"/>
  <c r="C77" i="9"/>
  <c r="C75" i="9"/>
  <c r="D146" i="9"/>
  <c r="D142" i="9"/>
  <c r="C129" i="9"/>
  <c r="C136" i="9" s="1"/>
  <c r="D121" i="9"/>
  <c r="C91" i="9"/>
  <c r="D80" i="9"/>
  <c r="D78" i="9"/>
  <c r="D77" i="9"/>
  <c r="D56" i="9"/>
  <c r="D60" i="9" s="1"/>
  <c r="D68" i="9" s="1"/>
  <c r="C50" i="9"/>
  <c r="C79" i="9" s="1"/>
  <c r="D79" i="9" s="1"/>
  <c r="C35" i="9"/>
  <c r="D35" i="9" s="1"/>
  <c r="C34" i="9"/>
  <c r="C36" i="9" s="1"/>
  <c r="D26" i="9"/>
  <c r="J11" i="8"/>
  <c r="J27" i="8" s="1"/>
  <c r="F11" i="8"/>
  <c r="F27" i="8" s="1"/>
  <c r="B11" i="8"/>
  <c r="B27" i="8" s="1"/>
  <c r="J9" i="8"/>
  <c r="F9" i="8"/>
  <c r="J7" i="8"/>
  <c r="F7" i="8"/>
  <c r="K5" i="8"/>
  <c r="K6" i="8" s="1"/>
  <c r="J4" i="8"/>
  <c r="J17" i="8" s="1"/>
  <c r="F4" i="8"/>
  <c r="F17" i="8" s="1"/>
  <c r="O27" i="8" l="1"/>
  <c r="O28" i="8" s="1"/>
  <c r="K27" i="8"/>
  <c r="K28" i="8" s="1"/>
  <c r="M27" i="8"/>
  <c r="M28" i="8" s="1"/>
  <c r="M30" i="8" s="1"/>
  <c r="I27" i="8"/>
  <c r="I28" i="8" s="1"/>
  <c r="I29" i="8" s="1"/>
  <c r="E8" i="12"/>
  <c r="F8" i="12" s="1"/>
  <c r="E14" i="12"/>
  <c r="F14" i="12" s="1"/>
  <c r="E6" i="12"/>
  <c r="F6" i="12" s="1"/>
  <c r="D16" i="12"/>
  <c r="D10" i="12"/>
  <c r="D76" i="10"/>
  <c r="D81" i="10"/>
  <c r="E5" i="12"/>
  <c r="C27" i="8"/>
  <c r="C28" i="8" s="1"/>
  <c r="C30" i="8" s="1"/>
  <c r="E27" i="8"/>
  <c r="E28" i="8" s="1"/>
  <c r="E29" i="8" s="1"/>
  <c r="K30" i="8"/>
  <c r="K29" i="8"/>
  <c r="O30" i="8"/>
  <c r="O29" i="8"/>
  <c r="J35" i="8"/>
  <c r="D35" i="8"/>
  <c r="L35" i="8"/>
  <c r="F35" i="8"/>
  <c r="N35" i="8"/>
  <c r="H35" i="8"/>
  <c r="C7" i="11"/>
  <c r="C8" i="11" s="1"/>
  <c r="C9" i="11" s="1"/>
  <c r="F22" i="12" s="1"/>
  <c r="E31" i="12" s="1"/>
  <c r="C15" i="11"/>
  <c r="F25" i="12" s="1"/>
  <c r="E32" i="12" s="1"/>
  <c r="G27" i="8"/>
  <c r="G28" i="8" s="1"/>
  <c r="K7" i="8"/>
  <c r="K8" i="8" s="1"/>
  <c r="K9" i="8" s="1"/>
  <c r="K10" i="8" s="1"/>
  <c r="O7" i="8"/>
  <c r="O8" i="8" s="1"/>
  <c r="N17" i="8"/>
  <c r="L17" i="8"/>
  <c r="H24" i="8"/>
  <c r="J24" i="8"/>
  <c r="D24" i="8"/>
  <c r="F24" i="8"/>
  <c r="M7" i="8"/>
  <c r="M8" i="8" s="1"/>
  <c r="D35" i="10"/>
  <c r="D36" i="10" s="1"/>
  <c r="D34" i="9"/>
  <c r="D36" i="9" s="1"/>
  <c r="D75" i="9"/>
  <c r="I7" i="8"/>
  <c r="I8" i="8" s="1"/>
  <c r="I9" i="8" s="1"/>
  <c r="I10" i="8" s="1"/>
  <c r="E6" i="8"/>
  <c r="C136" i="3"/>
  <c r="C136" i="5"/>
  <c r="C136" i="7"/>
  <c r="C136" i="2"/>
  <c r="C36" i="3"/>
  <c r="C36" i="5"/>
  <c r="C36" i="7"/>
  <c r="C36" i="2"/>
  <c r="C36" i="1"/>
  <c r="C136" i="1"/>
  <c r="B9" i="8"/>
  <c r="B7" i="8"/>
  <c r="C5" i="8"/>
  <c r="C6" i="8" s="1"/>
  <c r="B4" i="8"/>
  <c r="B35" i="8" s="1"/>
  <c r="D26" i="7"/>
  <c r="D34" i="7" s="1"/>
  <c r="D146" i="7"/>
  <c r="C129" i="7"/>
  <c r="D121" i="7"/>
  <c r="C94" i="7"/>
  <c r="C93" i="7"/>
  <c r="C92" i="7"/>
  <c r="C91" i="7"/>
  <c r="C90" i="7"/>
  <c r="C80" i="7"/>
  <c r="C78" i="7"/>
  <c r="C77" i="7"/>
  <c r="C75" i="7"/>
  <c r="D56" i="7"/>
  <c r="D60" i="7" s="1"/>
  <c r="D68" i="7" s="1"/>
  <c r="C50" i="7"/>
  <c r="C79" i="7" s="1"/>
  <c r="C35" i="7"/>
  <c r="C34" i="7"/>
  <c r="D146" i="5"/>
  <c r="C129" i="5"/>
  <c r="D121" i="5"/>
  <c r="C94" i="5"/>
  <c r="C93" i="5"/>
  <c r="C92" i="5"/>
  <c r="C91" i="5"/>
  <c r="C90" i="5"/>
  <c r="C80" i="5"/>
  <c r="D80" i="5" s="1"/>
  <c r="C78" i="5"/>
  <c r="C77" i="5"/>
  <c r="C75" i="5"/>
  <c r="D56" i="5"/>
  <c r="D60" i="5" s="1"/>
  <c r="D68" i="5" s="1"/>
  <c r="C50" i="5"/>
  <c r="C79" i="5" s="1"/>
  <c r="C35" i="5"/>
  <c r="C34" i="5"/>
  <c r="D26" i="5"/>
  <c r="D142" i="5" s="1"/>
  <c r="C129" i="3"/>
  <c r="D121" i="3"/>
  <c r="D146" i="3" s="1"/>
  <c r="C94" i="3"/>
  <c r="C93" i="3"/>
  <c r="C92" i="3"/>
  <c r="C91" i="3"/>
  <c r="C90" i="3"/>
  <c r="C80" i="3"/>
  <c r="C78" i="3"/>
  <c r="C77" i="3"/>
  <c r="C75" i="3"/>
  <c r="D56" i="3"/>
  <c r="D60" i="3" s="1"/>
  <c r="D68" i="3" s="1"/>
  <c r="C50" i="3"/>
  <c r="C79" i="3" s="1"/>
  <c r="C35" i="3"/>
  <c r="C34" i="3"/>
  <c r="D26" i="3"/>
  <c r="D146" i="2"/>
  <c r="C129" i="2"/>
  <c r="D121" i="2"/>
  <c r="C94" i="2"/>
  <c r="C93" i="2"/>
  <c r="C92" i="2"/>
  <c r="C91" i="2"/>
  <c r="C90" i="2"/>
  <c r="C80" i="2"/>
  <c r="C78" i="2"/>
  <c r="C77" i="2"/>
  <c r="C75" i="2"/>
  <c r="D56" i="2"/>
  <c r="D60" i="2" s="1"/>
  <c r="D68" i="2" s="1"/>
  <c r="C50" i="2"/>
  <c r="C79" i="2" s="1"/>
  <c r="C35" i="2"/>
  <c r="C34" i="2"/>
  <c r="D26" i="2"/>
  <c r="D142" i="2" s="1"/>
  <c r="D121" i="1"/>
  <c r="D102" i="1"/>
  <c r="D56" i="1"/>
  <c r="C29" i="8" l="1"/>
  <c r="C31" i="8" s="1"/>
  <c r="C32" i="8" s="1"/>
  <c r="C37" i="8" s="1"/>
  <c r="E30" i="8"/>
  <c r="E31" i="8" s="1"/>
  <c r="E32" i="8" s="1"/>
  <c r="E37" i="8" s="1"/>
  <c r="I30" i="8"/>
  <c r="I31" i="8" s="1"/>
  <c r="I32" i="8" s="1"/>
  <c r="I37" i="8" s="1"/>
  <c r="D142" i="3"/>
  <c r="G5" i="8"/>
  <c r="G6" i="8" s="1"/>
  <c r="G7" i="8" s="1"/>
  <c r="G8" i="8" s="1"/>
  <c r="G9" i="8" s="1"/>
  <c r="G10" i="8" s="1"/>
  <c r="G11" i="8" s="1"/>
  <c r="G12" i="8" s="1"/>
  <c r="M29" i="8"/>
  <c r="M31" i="8" s="1"/>
  <c r="M32" i="8" s="1"/>
  <c r="M37" i="8" s="1"/>
  <c r="E39" i="12"/>
  <c r="E38" i="12"/>
  <c r="F5" i="12"/>
  <c r="D95" i="10"/>
  <c r="D94" i="10"/>
  <c r="D90" i="10"/>
  <c r="D92" i="10"/>
  <c r="D91" i="10"/>
  <c r="D93" i="10"/>
  <c r="K31" i="8"/>
  <c r="K32" i="8" s="1"/>
  <c r="K37" i="8" s="1"/>
  <c r="O31" i="8"/>
  <c r="O32" i="8" s="1"/>
  <c r="O37" i="8" s="1"/>
  <c r="G29" i="8"/>
  <c r="G30" i="8"/>
  <c r="B17" i="8"/>
  <c r="B24" i="8"/>
  <c r="O9" i="8"/>
  <c r="O10" i="8" s="1"/>
  <c r="M9" i="8"/>
  <c r="M10" i="8" s="1"/>
  <c r="D46" i="10"/>
  <c r="D43" i="10"/>
  <c r="D45" i="10"/>
  <c r="D44" i="10"/>
  <c r="D66" i="10"/>
  <c r="D48" i="10"/>
  <c r="D42" i="10"/>
  <c r="D49" i="10"/>
  <c r="D47" i="10"/>
  <c r="D144" i="10"/>
  <c r="D46" i="9"/>
  <c r="D45" i="9"/>
  <c r="D44" i="9"/>
  <c r="D49" i="9"/>
  <c r="D43" i="9"/>
  <c r="D66" i="9"/>
  <c r="D48" i="9"/>
  <c r="D42" i="9"/>
  <c r="D76" i="9"/>
  <c r="D81" i="9" s="1"/>
  <c r="D144" i="9" s="1"/>
  <c r="D47" i="9"/>
  <c r="I11" i="8"/>
  <c r="I12" i="8" s="1"/>
  <c r="K11" i="8"/>
  <c r="K12" i="8" s="1"/>
  <c r="E7" i="8"/>
  <c r="E8" i="8" s="1"/>
  <c r="C7" i="8"/>
  <c r="C8" i="8" s="1"/>
  <c r="D35" i="7"/>
  <c r="D36" i="7" s="1"/>
  <c r="D77" i="7"/>
  <c r="D80" i="7"/>
  <c r="D78" i="7"/>
  <c r="D79" i="7" s="1"/>
  <c r="D142" i="7"/>
  <c r="D75" i="7"/>
  <c r="D34" i="5"/>
  <c r="D77" i="5"/>
  <c r="D75" i="5"/>
  <c r="D35" i="5"/>
  <c r="D78" i="5"/>
  <c r="D79" i="5" s="1"/>
  <c r="D78" i="3"/>
  <c r="D79" i="3" s="1"/>
  <c r="D80" i="3"/>
  <c r="D77" i="3"/>
  <c r="D35" i="3"/>
  <c r="D75" i="3"/>
  <c r="D34" i="3"/>
  <c r="D77" i="2"/>
  <c r="D80" i="2"/>
  <c r="D34" i="2"/>
  <c r="D75" i="2"/>
  <c r="D35" i="2"/>
  <c r="D36" i="2" s="1"/>
  <c r="D78" i="2"/>
  <c r="D79" i="2" s="1"/>
  <c r="C80" i="1"/>
  <c r="C77" i="1"/>
  <c r="G31" i="8" l="1"/>
  <c r="G32" i="8" s="1"/>
  <c r="G37" i="8" s="1"/>
  <c r="O11" i="8"/>
  <c r="O12" i="8" s="1"/>
  <c r="M11" i="8"/>
  <c r="M12" i="8" s="1"/>
  <c r="D50" i="10"/>
  <c r="D67" i="10" s="1"/>
  <c r="D69" i="10" s="1"/>
  <c r="D50" i="9"/>
  <c r="D67" i="9" s="1"/>
  <c r="D69" i="9"/>
  <c r="I13" i="8"/>
  <c r="I18" i="8" s="1"/>
  <c r="I14" i="8"/>
  <c r="I19" i="8" s="1"/>
  <c r="K13" i="8"/>
  <c r="K18" i="8" s="1"/>
  <c r="K14" i="8"/>
  <c r="K19" i="8" s="1"/>
  <c r="G14" i="8"/>
  <c r="G19" i="8" s="1"/>
  <c r="G13" i="8"/>
  <c r="G18" i="8" s="1"/>
  <c r="G20" i="8" s="1"/>
  <c r="G21" i="8" s="1"/>
  <c r="G36" i="8" s="1"/>
  <c r="E9" i="8"/>
  <c r="E10" i="8" s="1"/>
  <c r="C9" i="8"/>
  <c r="C10" i="8" s="1"/>
  <c r="D49" i="7"/>
  <c r="D46" i="7"/>
  <c r="D43" i="7"/>
  <c r="D66" i="7"/>
  <c r="D47" i="7"/>
  <c r="D44" i="7"/>
  <c r="D42" i="7"/>
  <c r="D48" i="7"/>
  <c r="D45" i="7"/>
  <c r="D76" i="7"/>
  <c r="D81" i="7" s="1"/>
  <c r="D144" i="7" s="1"/>
  <c r="D36" i="5"/>
  <c r="D43" i="5"/>
  <c r="D66" i="5"/>
  <c r="D44" i="5"/>
  <c r="D49" i="5"/>
  <c r="D46" i="5"/>
  <c r="D42" i="5"/>
  <c r="D48" i="5"/>
  <c r="D47" i="5"/>
  <c r="D45" i="5"/>
  <c r="D76" i="5"/>
  <c r="D81" i="5" s="1"/>
  <c r="D144" i="5" s="1"/>
  <c r="D36" i="3"/>
  <c r="D66" i="3" s="1"/>
  <c r="D76" i="3"/>
  <c r="D81" i="3" s="1"/>
  <c r="D144" i="3" s="1"/>
  <c r="D45" i="3"/>
  <c r="D44" i="2"/>
  <c r="D43" i="2"/>
  <c r="D66" i="2"/>
  <c r="D49" i="2"/>
  <c r="D42" i="2"/>
  <c r="D47" i="2"/>
  <c r="D45" i="2"/>
  <c r="D48" i="2"/>
  <c r="D46" i="2"/>
  <c r="D76" i="2"/>
  <c r="D81" i="2" s="1"/>
  <c r="D144" i="2" s="1"/>
  <c r="C129" i="1"/>
  <c r="C94" i="1"/>
  <c r="C93" i="1"/>
  <c r="C92" i="1"/>
  <c r="C91" i="1"/>
  <c r="C90" i="1"/>
  <c r="C78" i="1"/>
  <c r="C75" i="1"/>
  <c r="C35" i="1"/>
  <c r="C34" i="1"/>
  <c r="D48" i="3" l="1"/>
  <c r="G38" i="8"/>
  <c r="K20" i="8"/>
  <c r="K21" i="8" s="1"/>
  <c r="K36" i="8" s="1"/>
  <c r="K38" i="8" s="1"/>
  <c r="I20" i="8"/>
  <c r="I21" i="8" s="1"/>
  <c r="I36" i="8" s="1"/>
  <c r="I38" i="8" s="1"/>
  <c r="O13" i="8"/>
  <c r="O18" i="8" s="1"/>
  <c r="O14" i="8"/>
  <c r="O19" i="8" s="1"/>
  <c r="M14" i="8"/>
  <c r="M19" i="8" s="1"/>
  <c r="M13" i="8"/>
  <c r="M18" i="8" s="1"/>
  <c r="M20" i="8" s="1"/>
  <c r="M21" i="8" s="1"/>
  <c r="M36" i="8" s="1"/>
  <c r="M38" i="8" s="1"/>
  <c r="D143" i="10"/>
  <c r="D102" i="10"/>
  <c r="D103" i="10" s="1"/>
  <c r="D110" i="10" s="1"/>
  <c r="D96" i="10"/>
  <c r="D109" i="10" s="1"/>
  <c r="D111" i="10" s="1"/>
  <c r="D145" i="10" s="1"/>
  <c r="D143" i="9"/>
  <c r="D102" i="9"/>
  <c r="D103" i="9" s="1"/>
  <c r="D110" i="9" s="1"/>
  <c r="D95" i="9"/>
  <c r="D94" i="9"/>
  <c r="D92" i="9"/>
  <c r="D93" i="9"/>
  <c r="D90" i="9"/>
  <c r="D91" i="9"/>
  <c r="E11" i="8"/>
  <c r="E12" i="8" s="1"/>
  <c r="C11" i="8"/>
  <c r="C12" i="8" s="1"/>
  <c r="D50" i="7"/>
  <c r="D67" i="7" s="1"/>
  <c r="D69" i="7" s="1"/>
  <c r="D102" i="7" s="1"/>
  <c r="D103" i="7" s="1"/>
  <c r="D110" i="7" s="1"/>
  <c r="D95" i="7"/>
  <c r="D91" i="7"/>
  <c r="D143" i="7"/>
  <c r="D94" i="7"/>
  <c r="D92" i="7"/>
  <c r="D90" i="7"/>
  <c r="D93" i="7"/>
  <c r="D50" i="5"/>
  <c r="D67" i="5" s="1"/>
  <c r="D69" i="5" s="1"/>
  <c r="D47" i="3"/>
  <c r="D49" i="3"/>
  <c r="D42" i="3"/>
  <c r="D43" i="3"/>
  <c r="D44" i="3"/>
  <c r="D46" i="3"/>
  <c r="D50" i="2"/>
  <c r="D67" i="2" s="1"/>
  <c r="D69" i="2"/>
  <c r="D146" i="1"/>
  <c r="D60" i="1"/>
  <c r="D68" i="1" s="1"/>
  <c r="C50" i="1"/>
  <c r="C79" i="1" s="1"/>
  <c r="D26" i="1"/>
  <c r="O20" i="8" l="1"/>
  <c r="O21" i="8" s="1"/>
  <c r="O36" i="8" s="1"/>
  <c r="O38" i="8" s="1"/>
  <c r="D147" i="10"/>
  <c r="D96" i="9"/>
  <c r="D109" i="9" s="1"/>
  <c r="D111" i="9" s="1"/>
  <c r="D145" i="9" s="1"/>
  <c r="D147" i="9" s="1"/>
  <c r="C14" i="8"/>
  <c r="C19" i="8" s="1"/>
  <c r="C13" i="8"/>
  <c r="C18" i="8" s="1"/>
  <c r="E14" i="8"/>
  <c r="E19" i="8" s="1"/>
  <c r="E13" i="8"/>
  <c r="E18" i="8" s="1"/>
  <c r="E20" i="8" s="1"/>
  <c r="E21" i="8" s="1"/>
  <c r="E36" i="8" s="1"/>
  <c r="E38" i="8" s="1"/>
  <c r="D96" i="7"/>
  <c r="D109" i="7" s="1"/>
  <c r="D111" i="7" s="1"/>
  <c r="D145" i="7" s="1"/>
  <c r="D147" i="7"/>
  <c r="D95" i="5"/>
  <c r="D91" i="5"/>
  <c r="D143" i="5"/>
  <c r="D94" i="5"/>
  <c r="D93" i="5"/>
  <c r="D102" i="5"/>
  <c r="D103" i="5" s="1"/>
  <c r="D110" i="5" s="1"/>
  <c r="D90" i="5"/>
  <c r="D92" i="5"/>
  <c r="D50" i="3"/>
  <c r="D67" i="3" s="1"/>
  <c r="D69" i="3" s="1"/>
  <c r="D102" i="3" s="1"/>
  <c r="D103" i="3" s="1"/>
  <c r="D110" i="3" s="1"/>
  <c r="D92" i="3"/>
  <c r="D94" i="2"/>
  <c r="D91" i="2"/>
  <c r="D143" i="2"/>
  <c r="D95" i="2"/>
  <c r="D102" i="2"/>
  <c r="D103" i="2" s="1"/>
  <c r="D110" i="2" s="1"/>
  <c r="D90" i="2"/>
  <c r="D92" i="2"/>
  <c r="D93" i="2"/>
  <c r="D75" i="1"/>
  <c r="D76" i="1" s="1"/>
  <c r="D78" i="1"/>
  <c r="D79" i="1" s="1"/>
  <c r="D77" i="1"/>
  <c r="D142" i="1"/>
  <c r="D35" i="1"/>
  <c r="D80" i="1"/>
  <c r="D34" i="1"/>
  <c r="D93" i="3" l="1"/>
  <c r="D91" i="3"/>
  <c r="D94" i="3"/>
  <c r="C20" i="8"/>
  <c r="C21" i="8" s="1"/>
  <c r="C36" i="8" s="1"/>
  <c r="C38" i="8" s="1"/>
  <c r="C41" i="8" s="1"/>
  <c r="F19" i="12" s="1"/>
  <c r="E37" i="12" s="1"/>
  <c r="D127" i="10"/>
  <c r="D127" i="9"/>
  <c r="D127" i="7"/>
  <c r="D128" i="7"/>
  <c r="D96" i="5"/>
  <c r="D109" i="5" s="1"/>
  <c r="D111" i="5" s="1"/>
  <c r="D145" i="5" s="1"/>
  <c r="D147" i="5" s="1"/>
  <c r="D95" i="3"/>
  <c r="D143" i="3"/>
  <c r="D90" i="3"/>
  <c r="D96" i="2"/>
  <c r="D109" i="2" s="1"/>
  <c r="D111" i="2" s="1"/>
  <c r="D145" i="2" s="1"/>
  <c r="D147" i="2"/>
  <c r="D36" i="1"/>
  <c r="D81" i="1"/>
  <c r="D96" i="3" l="1"/>
  <c r="D109" i="3" s="1"/>
  <c r="D111" i="3" s="1"/>
  <c r="D145" i="3" s="1"/>
  <c r="D147" i="3" s="1"/>
  <c r="D128" i="10"/>
  <c r="D129" i="10" s="1"/>
  <c r="D128" i="9"/>
  <c r="D129" i="9" s="1"/>
  <c r="D129" i="7"/>
  <c r="D136" i="7" s="1"/>
  <c r="D148" i="7" s="1"/>
  <c r="D127" i="5"/>
  <c r="D128" i="5"/>
  <c r="D129" i="5" s="1"/>
  <c r="D127" i="3"/>
  <c r="D127" i="2"/>
  <c r="D128" i="2"/>
  <c r="D129" i="2"/>
  <c r="D66" i="1"/>
  <c r="D47" i="1"/>
  <c r="D42" i="1"/>
  <c r="D48" i="1"/>
  <c r="D46" i="1"/>
  <c r="D43" i="1"/>
  <c r="D45" i="1"/>
  <c r="D49" i="1"/>
  <c r="D44" i="1"/>
  <c r="D144" i="1"/>
  <c r="D149" i="3" l="1"/>
  <c r="C7" i="12" s="1"/>
  <c r="E7" i="12" s="1"/>
  <c r="D128" i="3"/>
  <c r="D129" i="3" s="1"/>
  <c r="D136" i="10"/>
  <c r="D148" i="10" s="1"/>
  <c r="D149" i="10" s="1"/>
  <c r="C15" i="12" s="1"/>
  <c r="E15" i="12" s="1"/>
  <c r="D136" i="9"/>
  <c r="D148" i="9" s="1"/>
  <c r="D130" i="7"/>
  <c r="D132" i="7"/>
  <c r="D131" i="7"/>
  <c r="D135" i="7"/>
  <c r="D134" i="7"/>
  <c r="D133" i="7"/>
  <c r="D136" i="5"/>
  <c r="D148" i="5" s="1"/>
  <c r="D136" i="3"/>
  <c r="D148" i="3" s="1"/>
  <c r="D136" i="2"/>
  <c r="D148" i="2" s="1"/>
  <c r="D50" i="1"/>
  <c r="D67" i="1" s="1"/>
  <c r="D69" i="1" s="1"/>
  <c r="D93" i="1" s="1"/>
  <c r="D94" i="1"/>
  <c r="F7" i="12" l="1"/>
  <c r="F10" i="12" s="1"/>
  <c r="E10" i="12"/>
  <c r="F15" i="12"/>
  <c r="F16" i="12" s="1"/>
  <c r="E16" i="12"/>
  <c r="D133" i="10"/>
  <c r="D132" i="10"/>
  <c r="D131" i="10"/>
  <c r="D130" i="10"/>
  <c r="D134" i="10"/>
  <c r="D135" i="10"/>
  <c r="D133" i="9"/>
  <c r="D132" i="9"/>
  <c r="D131" i="9"/>
  <c r="D130" i="9"/>
  <c r="D135" i="9"/>
  <c r="D134" i="9"/>
  <c r="D132" i="5"/>
  <c r="D131" i="5"/>
  <c r="D130" i="5"/>
  <c r="D134" i="5"/>
  <c r="D133" i="5"/>
  <c r="D135" i="5"/>
  <c r="D131" i="3"/>
  <c r="D135" i="3"/>
  <c r="D130" i="3"/>
  <c r="D134" i="3"/>
  <c r="D133" i="3"/>
  <c r="D132" i="3"/>
  <c r="D132" i="2"/>
  <c r="D131" i="2"/>
  <c r="D135" i="2"/>
  <c r="D134" i="2"/>
  <c r="D133" i="2"/>
  <c r="D130" i="2"/>
  <c r="D91" i="1"/>
  <c r="D95" i="1"/>
  <c r="D103" i="1"/>
  <c r="D110" i="1" s="1"/>
  <c r="D90" i="1"/>
  <c r="D143" i="1"/>
  <c r="D92" i="1"/>
  <c r="E35" i="12" l="1"/>
  <c r="E30" i="12"/>
  <c r="E33" i="12" s="1"/>
  <c r="E36" i="12"/>
  <c r="D96" i="1"/>
  <c r="D109" i="1" s="1"/>
  <c r="D111" i="1" s="1"/>
  <c r="D145" i="1" s="1"/>
  <c r="D147" i="1" s="1"/>
  <c r="D127" i="1" s="1"/>
  <c r="D128" i="1" s="1"/>
  <c r="D129" i="1" s="1"/>
  <c r="E40" i="12" l="1"/>
  <c r="E42" i="12" s="1"/>
  <c r="D136" i="1"/>
  <c r="D148" i="1" s="1"/>
  <c r="D135" i="1" s="1"/>
  <c r="D131" i="1" l="1"/>
  <c r="D132" i="1"/>
  <c r="D130" i="1"/>
  <c r="D133" i="1"/>
  <c r="D134" i="1"/>
</calcChain>
</file>

<file path=xl/sharedStrings.xml><?xml version="1.0" encoding="utf-8"?>
<sst xmlns="http://schemas.openxmlformats.org/spreadsheetml/2006/main" count="1352" uniqueCount="179">
  <si>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</si>
  <si>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</si>
  <si>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</si>
  <si>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</si>
  <si>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</si>
  <si>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</si>
  <si>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</si>
  <si>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</si>
  <si>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</si>
  <si>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</si>
  <si>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</si>
  <si>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</si>
  <si>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</si>
  <si>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</si>
  <si>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</si>
  <si>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</si>
  <si>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</si>
  <si>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</si>
  <si>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</si>
  <si>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</si>
  <si>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</si>
  <si>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</si>
  <si>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</si>
  <si>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</si>
  <si>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</si>
  <si>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</si>
  <si>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</si>
  <si>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</si>
  <si>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</si>
  <si>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</si>
  <si>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</si>
  <si>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</si>
  <si>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</si>
  <si>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</si>
  <si>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</si>
  <si>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</si>
  <si>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</si>
  <si>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</si>
  <si>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</si>
  <si>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</si>
  <si>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</si>
  <si>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</si>
  <si>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</si>
  <si>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</si>
  <si>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</si>
  <si>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</si>
  <si>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</si>
  <si>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</si>
  <si>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</si>
  <si>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</si>
  <si>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</si>
  <si>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</si>
  <si>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</si>
  <si>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</si>
  <si>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</si>
  <si>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</si>
  <si>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</si>
  <si>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</si>
  <si>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</si>
  <si>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</si>
  <si>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</si>
  <si>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</si>
  <si>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</si>
  <si>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</si>
  <si>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</si>
  <si>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</si>
  <si>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</si>
  <si>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</si>
  <si>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</si>
  <si>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</si>
  <si>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</si>
  <si>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</si>
  <si>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</si>
  <si>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</si>
  <si>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</si>
  <si>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</si>
  <si>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</si>
  <si>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</si>
  <si>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</si>
  <si>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</si>
  <si>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</si>
  <si>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</si>
  <si>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</si>
  <si>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</si>
  <si>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</si>
  <si>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</si>
  <si>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</si>
  <si>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</si>
  <si>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</si>
  <si>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</si>
  <si>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</si>
  <si>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</si>
  <si>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</si>
  <si>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</si>
  <si>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</si>
  <si>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</si>
  <si>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</si>
  <si>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</si>
  <si>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</si>
  <si>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Multa do FGTS sobre o Aviso Prévio Indenizado</t>
  </si>
  <si>
    <t>Multa do FGTS sobre o Aviso Prévio Trabalhado</t>
  </si>
  <si>
    <t>Assistente de Relações Públicas</t>
  </si>
  <si>
    <t>posto de serviço</t>
  </si>
  <si>
    <t>1423-25</t>
  </si>
  <si>
    <t>Redator</t>
  </si>
  <si>
    <t>2615-30</t>
  </si>
  <si>
    <t>Editor</t>
  </si>
  <si>
    <t>2611-20</t>
  </si>
  <si>
    <r>
      <rPr>
        <b/>
        <i/>
        <sz val="10"/>
        <color theme="1"/>
        <rFont val="Times New Roman"/>
        <family val="1"/>
      </rPr>
      <t>Designer</t>
    </r>
    <r>
      <rPr>
        <b/>
        <sz val="10"/>
        <color theme="1"/>
        <rFont val="Times New Roman"/>
        <family val="1"/>
      </rPr>
      <t xml:space="preserve"> Gráfico</t>
    </r>
  </si>
  <si>
    <r>
      <rPr>
        <i/>
        <sz val="10"/>
        <color theme="1"/>
        <rFont val="Times New Roman"/>
        <family val="1"/>
      </rPr>
      <t>Designer</t>
    </r>
    <r>
      <rPr>
        <sz val="10"/>
        <color theme="1"/>
        <rFont val="Times New Roman"/>
        <family val="1"/>
      </rPr>
      <t xml:space="preserve"> Gráfico</t>
    </r>
  </si>
  <si>
    <t>2624-10</t>
  </si>
  <si>
    <t>Assistente Administrativo</t>
  </si>
  <si>
    <t>4110-10</t>
  </si>
  <si>
    <t>remuneração</t>
  </si>
  <si>
    <t>posto</t>
  </si>
  <si>
    <t>13º, férias e adicional</t>
  </si>
  <si>
    <t>encargos sociais e trabalhistas</t>
  </si>
  <si>
    <t>subtotal</t>
  </si>
  <si>
    <t>custos indiretos, lucro e tributos</t>
  </si>
  <si>
    <t>custo hora normal</t>
  </si>
  <si>
    <t>hora extra domingos e feriados</t>
  </si>
  <si>
    <t>por hora</t>
  </si>
  <si>
    <t/>
  </si>
  <si>
    <t>subtotal 1</t>
  </si>
  <si>
    <t>subtotal 2</t>
  </si>
  <si>
    <t>Redator - acréscimo por 7 meses em anos eleitorais</t>
  </si>
  <si>
    <r>
      <rPr>
        <b/>
        <i/>
        <sz val="10"/>
        <color theme="1"/>
        <rFont val="Times New Roman"/>
        <family val="1"/>
      </rPr>
      <t>Designer</t>
    </r>
    <r>
      <rPr>
        <b/>
        <sz val="10"/>
        <color theme="1"/>
        <rFont val="Times New Roman"/>
        <family val="1"/>
      </rPr>
      <t xml:space="preserve"> Gráfico - acréscimo por 7 meses em anos eleitorais</t>
    </r>
  </si>
  <si>
    <t>valores referenciais</t>
  </si>
  <si>
    <t>horas extras</t>
  </si>
  <si>
    <t>domingos e feriados</t>
  </si>
  <si>
    <t>total</t>
  </si>
  <si>
    <t>total por posto</t>
  </si>
  <si>
    <t>custo com horas extras</t>
  </si>
  <si>
    <t>hora extra dias úteis, inclusive sábados</t>
  </si>
  <si>
    <t>dias úteis, inclusive sábados</t>
  </si>
  <si>
    <t>valor unitário</t>
  </si>
  <si>
    <t>por dia</t>
  </si>
  <si>
    <t>custo diário com vale transporte, por posto</t>
  </si>
  <si>
    <t>sábados, por posto</t>
  </si>
  <si>
    <t>domingos e feriados, por posto</t>
  </si>
  <si>
    <t>custo com vale transporte na prestação de horas extras</t>
  </si>
  <si>
    <t>custo total na prestação de horas extras</t>
  </si>
  <si>
    <t>vale transporte</t>
  </si>
  <si>
    <t>*</t>
  </si>
  <si>
    <t>Diárias e Deslocamentos</t>
  </si>
  <si>
    <t>diárias</t>
  </si>
  <si>
    <t>quantidade</t>
  </si>
  <si>
    <t>custo unitário com diárias</t>
  </si>
  <si>
    <t>lote 1</t>
  </si>
  <si>
    <t>deslocamentos</t>
  </si>
  <si>
    <t>valor passagens, por viagem</t>
  </si>
  <si>
    <t>custo por viagem</t>
  </si>
  <si>
    <t>valor anual com deslocamentos</t>
  </si>
  <si>
    <t>valor anual com diárias</t>
  </si>
  <si>
    <t>Total estimado - ano eleitoral</t>
  </si>
  <si>
    <t>Quadro Resumo - Valor Total Estimado</t>
  </si>
  <si>
    <t>item</t>
  </si>
  <si>
    <t>especificação</t>
  </si>
  <si>
    <t>valor mensal</t>
  </si>
  <si>
    <t>valor anual</t>
  </si>
  <si>
    <t>valor mensal unitário</t>
  </si>
  <si>
    <t>valor total
(7 meses)</t>
  </si>
  <si>
    <t>Horas Suplementares - Ano Eleitoral</t>
  </si>
  <si>
    <t>Diárias - Valor Anual</t>
  </si>
  <si>
    <t>Deslocamentos - Valor Anual</t>
  </si>
  <si>
    <t>Acréscimo Temporário - Ano Eleitoral</t>
  </si>
  <si>
    <t>Postos Regulares - Valor Anual</t>
  </si>
  <si>
    <t>Ano Não Eleitoral</t>
  </si>
  <si>
    <t>Ano Eleitoral</t>
  </si>
  <si>
    <t>Resultado da Estimativa - todos os itens</t>
  </si>
  <si>
    <t>total [A]</t>
  </si>
  <si>
    <t>total [B]</t>
  </si>
  <si>
    <t>Total Estimado da Contratação</t>
  </si>
  <si>
    <t>[A] + [B]</t>
  </si>
  <si>
    <r>
      <t xml:space="preserve">vhs = [ rem </t>
    </r>
    <r>
      <rPr>
        <sz val="11"/>
        <color theme="1"/>
        <rFont val="Calibri"/>
        <family val="2"/>
      </rPr>
      <t>×</t>
    </r>
    <r>
      <rPr>
        <sz val="11"/>
        <color theme="1"/>
        <rFont val="Times New Roman"/>
        <family val="1"/>
      </rPr>
      <t xml:space="preserve"> (1+13fa) </t>
    </r>
    <r>
      <rPr>
        <sz val="11"/>
        <color theme="1"/>
        <rFont val="Calibri"/>
        <family val="2"/>
      </rPr>
      <t>×</t>
    </r>
    <r>
      <rPr>
        <sz val="11"/>
        <color theme="1"/>
        <rFont val="Times New Roman"/>
        <family val="1"/>
      </rPr>
      <t xml:space="preserve"> (1+es) </t>
    </r>
    <r>
      <rPr>
        <sz val="11"/>
        <color theme="1"/>
        <rFont val="Calibri"/>
        <family val="2"/>
      </rPr>
      <t>×</t>
    </r>
    <r>
      <rPr>
        <sz val="11"/>
        <color theme="1"/>
        <rFont val="Times New Roman"/>
        <family val="1"/>
      </rPr>
      <t xml:space="preserve"> (1+i) </t>
    </r>
    <r>
      <rPr>
        <sz val="11"/>
        <color theme="1"/>
        <rFont val="Calibri"/>
        <family val="2"/>
      </rPr>
      <t>×</t>
    </r>
    <r>
      <rPr>
        <sz val="11"/>
        <color theme="1"/>
        <rFont val="Times New Roman"/>
        <family val="1"/>
      </rPr>
      <t xml:space="preserve"> (1+ci) </t>
    </r>
    <r>
      <rPr>
        <sz val="11"/>
        <color theme="1"/>
        <rFont val="Calibri"/>
        <family val="2"/>
      </rPr>
      <t>×</t>
    </r>
    <r>
      <rPr>
        <sz val="11"/>
        <color theme="1"/>
        <rFont val="Times New Roman"/>
        <family val="1"/>
      </rPr>
      <t xml:space="preserve"> (1+</t>
    </r>
    <r>
      <rPr>
        <sz val="11"/>
        <color theme="1"/>
        <rFont val="Calibri"/>
        <family val="2"/>
      </rPr>
      <t>ℓ</t>
    </r>
    <r>
      <rPr>
        <sz val="11"/>
        <color theme="1"/>
        <rFont val="Times New Roman"/>
        <family val="1"/>
      </rPr>
      <t xml:space="preserve">) </t>
    </r>
    <r>
      <rPr>
        <sz val="11"/>
        <color theme="1"/>
        <rFont val="Calibri"/>
        <family val="2"/>
      </rPr>
      <t>÷</t>
    </r>
    <r>
      <rPr>
        <sz val="11"/>
        <color theme="1"/>
        <rFont val="Times New Roman"/>
        <family val="1"/>
      </rPr>
      <t xml:space="preserve"> d ] / (1-t)</t>
    </r>
  </si>
  <si>
    <t>Horas Suplementares - Anexo B</t>
  </si>
  <si>
    <r>
      <t>desconto vale transporte</t>
    </r>
    <r>
      <rPr>
        <sz val="11"/>
        <color rgb="FFFF0000"/>
        <rFont val="Times New Roman"/>
        <family val="1"/>
      </rPr>
      <t>*</t>
    </r>
  </si>
  <si>
    <r>
      <rPr>
        <sz val="11"/>
        <color rgb="FFFF0000"/>
        <rFont val="Times New Roman"/>
        <family val="1"/>
      </rPr>
      <t>*</t>
    </r>
    <r>
      <rPr>
        <sz val="11"/>
        <color theme="1"/>
        <rFont val="Times New Roman"/>
        <family val="1"/>
      </rPr>
      <t xml:space="preserve">para o </t>
    </r>
    <r>
      <rPr>
        <i/>
        <sz val="11"/>
        <color theme="1"/>
        <rFont val="Times New Roman"/>
        <family val="1"/>
      </rPr>
      <t>editor</t>
    </r>
    <r>
      <rPr>
        <sz val="11"/>
        <color theme="1"/>
        <rFont val="Times New Roman"/>
        <family val="1"/>
      </rPr>
      <t xml:space="preserve"> não haveria tal desconto, por não haver previsão do benefício na PCFP</t>
    </r>
  </si>
  <si>
    <r>
      <rPr>
        <sz val="11"/>
        <color rgb="FFFF0000"/>
        <rFont val="Times New Roman"/>
        <family val="1"/>
      </rPr>
      <t>*</t>
    </r>
    <r>
      <rPr>
        <sz val="11"/>
        <color theme="1"/>
        <rFont val="Times New Roman"/>
        <family val="1"/>
      </rPr>
      <t xml:space="preserve">para o </t>
    </r>
    <r>
      <rPr>
        <i/>
        <sz val="11"/>
        <color theme="1"/>
        <rFont val="Times New Roman"/>
        <family val="1"/>
      </rPr>
      <t>editor</t>
    </r>
    <r>
      <rPr>
        <sz val="11"/>
        <color theme="1"/>
        <rFont val="Times New Roman"/>
        <family val="1"/>
      </rPr>
      <t xml:space="preserve"> não foi considerado o custo com vale transporte na estimativa, dado que o percentual de desconto do empregado (6% do salário) seria maior que o valor mensal do benefício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</si>
</sst>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Calibri"/>
      <family val="2"/>
    </font>
    <font>
      <i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top"/>
    </xf>
    <xf numFmtId="43" fontId="9" fillId="0" borderId="0" xfId="0" applyNumberFormat="1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/>
    </xf>
    <xf numFmtId="43" fontId="9" fillId="0" borderId="3" xfId="0" applyNumberFormat="1" applyFont="1" applyBorder="1" applyAlignment="1">
      <alignment vertical="top"/>
    </xf>
    <xf numFmtId="10" fontId="9" fillId="0" borderId="2" xfId="0" applyNumberFormat="1" applyFont="1" applyBorder="1" applyAlignment="1">
      <alignment vertical="top"/>
    </xf>
    <xf numFmtId="9" fontId="9" fillId="0" borderId="2" xfId="0" applyNumberFormat="1" applyFont="1" applyBorder="1" applyAlignment="1">
      <alignment vertical="top"/>
    </xf>
    <xf numFmtId="0" fontId="9" fillId="0" borderId="2" xfId="0" quotePrefix="1" applyFont="1" applyBorder="1" applyAlignment="1">
      <alignment vertical="top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vertical="top"/>
    </xf>
    <xf numFmtId="0" fontId="9" fillId="0" borderId="2" xfId="0" applyFont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11" fillId="0" borderId="2" xfId="0" applyFont="1" applyBorder="1" applyAlignment="1">
      <alignment horizontal="center" vertical="top" wrapText="1"/>
    </xf>
    <xf numFmtId="43" fontId="10" fillId="0" borderId="3" xfId="0" applyNumberFormat="1" applyFont="1" applyBorder="1" applyAlignment="1">
      <alignment vertical="top"/>
    </xf>
    <xf numFmtId="0" fontId="9" fillId="0" borderId="2" xfId="0" applyFont="1" applyBorder="1"/>
    <xf numFmtId="0" fontId="9" fillId="0" borderId="4" xfId="0" applyFont="1" applyBorder="1"/>
    <xf numFmtId="43" fontId="9" fillId="0" borderId="3" xfId="10" applyFont="1" applyBorder="1"/>
    <xf numFmtId="10" fontId="9" fillId="0" borderId="4" xfId="0" applyNumberFormat="1" applyFont="1" applyBorder="1"/>
    <xf numFmtId="0" fontId="9" fillId="0" borderId="1" xfId="0" applyFont="1" applyBorder="1" applyAlignment="1">
      <alignment horizontal="center" vertical="top"/>
    </xf>
    <xf numFmtId="0" fontId="10" fillId="0" borderId="0" xfId="0" applyFont="1"/>
    <xf numFmtId="0" fontId="10" fillId="0" borderId="2" xfId="0" applyFont="1" applyBorder="1"/>
    <xf numFmtId="0" fontId="9" fillId="0" borderId="5" xfId="0" applyFont="1" applyBorder="1" applyAlignment="1">
      <alignment vertical="top"/>
    </xf>
    <xf numFmtId="43" fontId="10" fillId="0" borderId="3" xfId="10" applyFont="1" applyBorder="1" applyAlignment="1">
      <alignment vertical="top" shrinkToFit="1"/>
    </xf>
    <xf numFmtId="43" fontId="9" fillId="0" borderId="1" xfId="0" applyNumberFormat="1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43" fontId="10" fillId="0" borderId="1" xfId="0" applyNumberFormat="1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4" fontId="10" fillId="0" borderId="1" xfId="12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0" xfId="0" applyFont="1" applyAlignment="1">
      <alignment horizontal="center" vertical="top" wrapText="1"/>
    </xf>
  </cellXfs>
  <cellStyles count="13">
    <cellStyle name="Moeda" xfId="12" builtinId="4"/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topLeftCell="A100" zoomScale="115" zoomScaleNormal="115" workbookViewId="0">
      <selection activeCell="A49" sqref="A4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0" t="s">
        <v>0</v>
      </c>
      <c r="B1" s="80"/>
      <c r="C1" s="80"/>
      <c r="D1" s="80"/>
    </row>
    <row r="2" spans="1:4" ht="15.75" x14ac:dyDescent="0.25">
      <c r="A2" s="26"/>
      <c r="B2" s="26"/>
      <c r="C2" s="26"/>
      <c r="D2" s="26"/>
    </row>
    <row r="3" spans="1:4" x14ac:dyDescent="0.2">
      <c r="A3" s="82" t="s">
        <v>89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ht="38.25" x14ac:dyDescent="0.2">
      <c r="A5" s="83" t="s">
        <v>90</v>
      </c>
      <c r="B5" s="83"/>
      <c r="C5" s="7" t="s">
        <v>91</v>
      </c>
      <c r="D5" s="27" t="s">
        <v>92</v>
      </c>
    </row>
    <row r="6" spans="1:4" x14ac:dyDescent="0.2">
      <c r="A6" s="90" t="s">
        <v>101</v>
      </c>
      <c r="B6" s="90"/>
      <c r="C6" s="37" t="s">
        <v>102</v>
      </c>
      <c r="D6" s="37">
        <v>2</v>
      </c>
    </row>
    <row r="8" spans="1:4" x14ac:dyDescent="0.2">
      <c r="A8" s="82" t="s">
        <v>73</v>
      </c>
      <c r="B8" s="82"/>
      <c r="C8" s="82"/>
      <c r="D8" s="82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1" t="s">
        <v>101</v>
      </c>
      <c r="D10" s="92"/>
    </row>
    <row r="11" spans="1:4" x14ac:dyDescent="0.2">
      <c r="A11" s="5">
        <v>2</v>
      </c>
      <c r="B11" s="5" t="s">
        <v>93</v>
      </c>
      <c r="C11" s="91" t="s">
        <v>103</v>
      </c>
      <c r="D11" s="92"/>
    </row>
    <row r="12" spans="1:4" x14ac:dyDescent="0.2">
      <c r="A12" s="5">
        <v>3</v>
      </c>
      <c r="B12" s="5" t="s">
        <v>75</v>
      </c>
      <c r="C12" s="91"/>
      <c r="D12" s="92"/>
    </row>
    <row r="13" spans="1:4" x14ac:dyDescent="0.2">
      <c r="A13" s="5">
        <v>4</v>
      </c>
      <c r="B13" s="5" t="s">
        <v>76</v>
      </c>
      <c r="C13" s="91"/>
      <c r="D13" s="92"/>
    </row>
    <row r="14" spans="1:4" x14ac:dyDescent="0.2">
      <c r="A14" s="5">
        <v>5</v>
      </c>
      <c r="B14" s="5" t="s">
        <v>77</v>
      </c>
      <c r="C14" s="91"/>
      <c r="D14" s="92"/>
    </row>
    <row r="16" spans="1:4" x14ac:dyDescent="0.2">
      <c r="A16" s="82" t="s">
        <v>1</v>
      </c>
      <c r="B16" s="82"/>
      <c r="C16" s="82"/>
      <c r="D16" s="82"/>
    </row>
    <row r="18" spans="1:4" x14ac:dyDescent="0.2">
      <c r="A18" s="6">
        <v>1</v>
      </c>
      <c r="B18" s="76" t="s">
        <v>2</v>
      </c>
      <c r="C18" s="76"/>
      <c r="D18" s="6" t="s">
        <v>3</v>
      </c>
    </row>
    <row r="19" spans="1:4" x14ac:dyDescent="0.2">
      <c r="A19" s="7" t="s">
        <v>4</v>
      </c>
      <c r="B19" s="75" t="s">
        <v>5</v>
      </c>
      <c r="C19" s="75"/>
      <c r="D19" s="13">
        <v>2366.04</v>
      </c>
    </row>
    <row r="20" spans="1:4" x14ac:dyDescent="0.2">
      <c r="A20" s="7" t="s">
        <v>6</v>
      </c>
      <c r="B20" s="75" t="s">
        <v>7</v>
      </c>
      <c r="C20" s="75"/>
      <c r="D20" s="13"/>
    </row>
    <row r="21" spans="1:4" x14ac:dyDescent="0.2">
      <c r="A21" s="7" t="s">
        <v>8</v>
      </c>
      <c r="B21" s="75" t="s">
        <v>9</v>
      </c>
      <c r="C21" s="75"/>
      <c r="D21" s="13"/>
    </row>
    <row r="22" spans="1:4" x14ac:dyDescent="0.2">
      <c r="A22" s="7" t="s">
        <v>10</v>
      </c>
      <c r="B22" s="75" t="s">
        <v>11</v>
      </c>
      <c r="C22" s="75"/>
      <c r="D22" s="13"/>
    </row>
    <row r="23" spans="1:4" x14ac:dyDescent="0.2">
      <c r="A23" s="7" t="s">
        <v>12</v>
      </c>
      <c r="B23" s="75" t="s">
        <v>13</v>
      </c>
      <c r="C23" s="75"/>
      <c r="D23" s="13"/>
    </row>
    <row r="24" spans="1:4" x14ac:dyDescent="0.2">
      <c r="A24" s="7"/>
      <c r="B24" s="75"/>
      <c r="C24" s="75"/>
      <c r="D24" s="13"/>
    </row>
    <row r="25" spans="1:4" x14ac:dyDescent="0.2">
      <c r="A25" s="7" t="s">
        <v>14</v>
      </c>
      <c r="B25" s="75" t="s">
        <v>15</v>
      </c>
      <c r="C25" s="75"/>
      <c r="D25" s="13"/>
    </row>
    <row r="26" spans="1:4" x14ac:dyDescent="0.2">
      <c r="A26" s="76" t="s">
        <v>16</v>
      </c>
      <c r="B26" s="76"/>
      <c r="C26" s="76"/>
      <c r="D26" s="20">
        <f>SUM(D19:D25)</f>
        <v>2366.04</v>
      </c>
    </row>
    <row r="29" spans="1:4" x14ac:dyDescent="0.2">
      <c r="A29" s="79" t="s">
        <v>17</v>
      </c>
      <c r="B29" s="79"/>
      <c r="C29" s="79"/>
      <c r="D29" s="79"/>
    </row>
    <row r="30" spans="1:4" x14ac:dyDescent="0.2">
      <c r="A30" s="3"/>
    </row>
    <row r="31" spans="1:4" x14ac:dyDescent="0.2">
      <c r="A31" s="77" t="s">
        <v>18</v>
      </c>
      <c r="B31" s="77"/>
      <c r="C31" s="77"/>
      <c r="D31" s="77"/>
    </row>
    <row r="33" spans="1:4" x14ac:dyDescent="0.2">
      <c r="A33" s="6" t="s">
        <v>19</v>
      </c>
      <c r="B33" s="76" t="s">
        <v>20</v>
      </c>
      <c r="C33" s="76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197.09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262.86</v>
      </c>
    </row>
    <row r="36" spans="1:4" x14ac:dyDescent="0.2">
      <c r="A36" s="76" t="s">
        <v>16</v>
      </c>
      <c r="B36" s="76"/>
      <c r="C36" s="28">
        <f>TRUNC(SUM(C34:C35),5)</f>
        <v>0.19439999999999999</v>
      </c>
      <c r="D36" s="19">
        <f>SUM(D34:D35)</f>
        <v>459.95000000000005</v>
      </c>
    </row>
    <row r="39" spans="1:4" x14ac:dyDescent="0.2">
      <c r="A39" s="81" t="s">
        <v>23</v>
      </c>
      <c r="B39" s="81"/>
      <c r="C39" s="81"/>
      <c r="D39" s="81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0.2</v>
      </c>
      <c r="D42" s="13">
        <f>TRUNC(($D$26+$D$36)*C42,2)</f>
        <v>565.19000000000005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49" si="0">TRUNC(($D$26+$D$36)*C43,2)</f>
        <v>70.64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84.77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42.38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28.25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16.95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5.65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226.07</v>
      </c>
    </row>
    <row r="50" spans="1:4" x14ac:dyDescent="0.2">
      <c r="A50" s="76" t="s">
        <v>37</v>
      </c>
      <c r="B50" s="76"/>
      <c r="C50" s="15">
        <f>SUM(C42:C49)</f>
        <v>0.36800000000000005</v>
      </c>
      <c r="D50" s="19">
        <f>SUM(D42:D49)</f>
        <v>1039.9000000000001</v>
      </c>
    </row>
    <row r="53" spans="1:4" x14ac:dyDescent="0.2">
      <c r="A53" s="77" t="s">
        <v>38</v>
      </c>
      <c r="B53" s="77"/>
      <c r="C53" s="77"/>
      <c r="D53" s="77"/>
    </row>
    <row r="55" spans="1:4" x14ac:dyDescent="0.2">
      <c r="A55" s="6" t="s">
        <v>39</v>
      </c>
      <c r="B55" s="78" t="s">
        <v>40</v>
      </c>
      <c r="C55" s="78"/>
      <c r="D55" s="6" t="s">
        <v>3</v>
      </c>
    </row>
    <row r="56" spans="1:4" x14ac:dyDescent="0.2">
      <c r="A56" s="7" t="s">
        <v>4</v>
      </c>
      <c r="B56" s="75" t="s">
        <v>41</v>
      </c>
      <c r="C56" s="75"/>
      <c r="D56" s="13">
        <f>IF((22*2*5.2)-(D19*0.06)&gt;0,(22*2*5.2)-(D19*0.06),0)</f>
        <v>86.837600000000009</v>
      </c>
    </row>
    <row r="57" spans="1:4" x14ac:dyDescent="0.2">
      <c r="A57" s="7" t="s">
        <v>6</v>
      </c>
      <c r="B57" s="75" t="s">
        <v>42</v>
      </c>
      <c r="C57" s="75"/>
      <c r="D57" s="13"/>
    </row>
    <row r="58" spans="1:4" x14ac:dyDescent="0.2">
      <c r="A58" s="7" t="s">
        <v>8</v>
      </c>
      <c r="B58" s="75" t="s">
        <v>43</v>
      </c>
      <c r="C58" s="75"/>
      <c r="D58" s="13"/>
    </row>
    <row r="59" spans="1:4" x14ac:dyDescent="0.2">
      <c r="A59" s="7" t="s">
        <v>10</v>
      </c>
      <c r="B59" s="75" t="s">
        <v>15</v>
      </c>
      <c r="C59" s="75"/>
      <c r="D59" s="13"/>
    </row>
    <row r="60" spans="1:4" x14ac:dyDescent="0.2">
      <c r="A60" s="76" t="s">
        <v>16</v>
      </c>
      <c r="B60" s="76"/>
      <c r="C60" s="76"/>
      <c r="D60" s="19">
        <f>SUM(D56:D59)</f>
        <v>86.837600000000009</v>
      </c>
    </row>
    <row r="63" spans="1:4" x14ac:dyDescent="0.2">
      <c r="A63" s="77" t="s">
        <v>44</v>
      </c>
      <c r="B63" s="77"/>
      <c r="C63" s="77"/>
      <c r="D63" s="77"/>
    </row>
    <row r="65" spans="1:5" x14ac:dyDescent="0.2">
      <c r="A65" s="6">
        <v>2</v>
      </c>
      <c r="B65" s="78" t="s">
        <v>45</v>
      </c>
      <c r="C65" s="78"/>
      <c r="D65" s="6" t="s">
        <v>3</v>
      </c>
    </row>
    <row r="66" spans="1:5" x14ac:dyDescent="0.2">
      <c r="A66" s="7" t="s">
        <v>19</v>
      </c>
      <c r="B66" s="75" t="s">
        <v>20</v>
      </c>
      <c r="C66" s="75"/>
      <c r="D66" s="14">
        <f>D36</f>
        <v>459.95000000000005</v>
      </c>
    </row>
    <row r="67" spans="1:5" x14ac:dyDescent="0.2">
      <c r="A67" s="7" t="s">
        <v>24</v>
      </c>
      <c r="B67" s="75" t="s">
        <v>25</v>
      </c>
      <c r="C67" s="75"/>
      <c r="D67" s="14">
        <f>D50</f>
        <v>1039.9000000000001</v>
      </c>
    </row>
    <row r="68" spans="1:5" x14ac:dyDescent="0.2">
      <c r="A68" s="7" t="s">
        <v>39</v>
      </c>
      <c r="B68" s="75" t="s">
        <v>40</v>
      </c>
      <c r="C68" s="75"/>
      <c r="D68" s="14">
        <f>D60</f>
        <v>86.837600000000009</v>
      </c>
    </row>
    <row r="69" spans="1:5" x14ac:dyDescent="0.2">
      <c r="A69" s="76" t="s">
        <v>16</v>
      </c>
      <c r="B69" s="76"/>
      <c r="C69" s="76"/>
      <c r="D69" s="19">
        <f>SUM(D66:D68)</f>
        <v>1586.6876000000002</v>
      </c>
    </row>
    <row r="70" spans="1:5" x14ac:dyDescent="0.2">
      <c r="A70" s="4"/>
      <c r="E70" s="18"/>
    </row>
    <row r="72" spans="1:5" x14ac:dyDescent="0.2">
      <c r="A72" s="79" t="s">
        <v>46</v>
      </c>
      <c r="B72" s="79"/>
      <c r="C72" s="79"/>
      <c r="D72" s="79"/>
      <c r="E72" s="17"/>
    </row>
    <row r="73" spans="1:5" ht="12.75" customHeight="1" x14ac:dyDescent="0.2">
      <c r="E73" s="18"/>
    </row>
    <row r="74" spans="1:5" x14ac:dyDescent="0.2">
      <c r="A74" s="6">
        <v>3</v>
      </c>
      <c r="B74" s="78" t="s">
        <v>47</v>
      </c>
      <c r="C74" s="78"/>
      <c r="D74" s="6" t="s">
        <v>3</v>
      </c>
    </row>
    <row r="75" spans="1:5" x14ac:dyDescent="0.2">
      <c r="A75" s="7" t="s">
        <v>4</v>
      </c>
      <c r="B75" s="10" t="s">
        <v>48</v>
      </c>
      <c r="C75" s="9">
        <f>TRUNC(((1/12)*5%),4)</f>
        <v>4.1000000000000003E-3</v>
      </c>
      <c r="D75" s="13">
        <f>TRUNC($D$26*C75,2)</f>
        <v>9.6999999999999993</v>
      </c>
    </row>
    <row r="76" spans="1:5" x14ac:dyDescent="0.2">
      <c r="A76" s="7" t="s">
        <v>6</v>
      </c>
      <c r="B76" s="10" t="s">
        <v>49</v>
      </c>
      <c r="C76" s="9">
        <v>0.08</v>
      </c>
      <c r="D76" s="13">
        <f>TRUNC(D75*C76,2)</f>
        <v>0.77</v>
      </c>
    </row>
    <row r="77" spans="1:5" x14ac:dyDescent="0.2">
      <c r="A77" s="7" t="s">
        <v>8</v>
      </c>
      <c r="B77" s="10" t="s">
        <v>99</v>
      </c>
      <c r="C77" s="9">
        <f>TRUNC(8%*5%*40%,4)</f>
        <v>1.6000000000000001E-3</v>
      </c>
      <c r="D77" s="13">
        <f>TRUNC($D$26*C77,2)</f>
        <v>3.78</v>
      </c>
    </row>
    <row r="78" spans="1:5" x14ac:dyDescent="0.2">
      <c r="A78" s="7" t="s">
        <v>10</v>
      </c>
      <c r="B78" s="10" t="s">
        <v>50</v>
      </c>
      <c r="C78" s="9">
        <f>TRUNC(((7/30)/12)*95%,4)</f>
        <v>1.84E-2</v>
      </c>
      <c r="D78" s="13">
        <f>TRUNC($D$26*C78,2)</f>
        <v>43.53</v>
      </c>
    </row>
    <row r="79" spans="1:5" ht="25.5" x14ac:dyDescent="0.2">
      <c r="A79" s="7" t="s">
        <v>12</v>
      </c>
      <c r="B79" s="10" t="s">
        <v>94</v>
      </c>
      <c r="C79" s="9">
        <f>C50</f>
        <v>0.36800000000000005</v>
      </c>
      <c r="D79" s="13">
        <f>TRUNC(D78*C79,2)</f>
        <v>16.010000000000002</v>
      </c>
    </row>
    <row r="80" spans="1:5" x14ac:dyDescent="0.2">
      <c r="A80" s="7" t="s">
        <v>32</v>
      </c>
      <c r="B80" s="10" t="s">
        <v>100</v>
      </c>
      <c r="C80" s="9">
        <f>TRUNC(8%*95%*40%,4)</f>
        <v>3.04E-2</v>
      </c>
      <c r="D80" s="13">
        <f t="shared" ref="D80" si="1">TRUNC($D$26*C80,2)</f>
        <v>71.92</v>
      </c>
    </row>
    <row r="81" spans="1:6" x14ac:dyDescent="0.2">
      <c r="A81" s="84" t="s">
        <v>16</v>
      </c>
      <c r="B81" s="85"/>
      <c r="C81" s="86"/>
      <c r="D81" s="19">
        <f>SUM(D75:D80)</f>
        <v>145.71</v>
      </c>
    </row>
    <row r="84" spans="1:6" x14ac:dyDescent="0.2">
      <c r="A84" s="79" t="s">
        <v>51</v>
      </c>
      <c r="B84" s="79"/>
      <c r="C84" s="79"/>
      <c r="D84" s="79"/>
    </row>
    <row r="87" spans="1:6" x14ac:dyDescent="0.2">
      <c r="A87" s="77" t="s">
        <v>78</v>
      </c>
      <c r="B87" s="77"/>
      <c r="C87" s="77"/>
      <c r="D87" s="77"/>
    </row>
    <row r="88" spans="1:6" x14ac:dyDescent="0.2">
      <c r="A88" s="3"/>
    </row>
    <row r="89" spans="1:6" x14ac:dyDescent="0.2">
      <c r="A89" s="6" t="s">
        <v>52</v>
      </c>
      <c r="B89" s="78" t="s">
        <v>79</v>
      </c>
      <c r="C89" s="78"/>
      <c r="D89" s="6" t="s">
        <v>3</v>
      </c>
    </row>
    <row r="90" spans="1:6" x14ac:dyDescent="0.2">
      <c r="A90" s="7" t="s">
        <v>4</v>
      </c>
      <c r="B90" s="8" t="s">
        <v>80</v>
      </c>
      <c r="C90" s="9">
        <f>TRUNC(((1+1/3)/12)/12,4)</f>
        <v>9.1999999999999998E-3</v>
      </c>
      <c r="D90" s="13">
        <f>TRUNC(($D$26+$D$69+$D$81)*C90,2)</f>
        <v>37.700000000000003</v>
      </c>
    </row>
    <row r="91" spans="1:6" x14ac:dyDescent="0.2">
      <c r="A91" s="7" t="s">
        <v>6</v>
      </c>
      <c r="B91" s="8" t="s">
        <v>81</v>
      </c>
      <c r="C91" s="9">
        <f>TRUNC(((2/30)/12),4)</f>
        <v>5.4999999999999997E-3</v>
      </c>
      <c r="D91" s="13">
        <f t="shared" ref="D91:D95" si="2">TRUNC(($D$26+$D$69+$D$81)*C91,2)</f>
        <v>22.54</v>
      </c>
    </row>
    <row r="92" spans="1:6" x14ac:dyDescent="0.2">
      <c r="A92" s="7" t="s">
        <v>8</v>
      </c>
      <c r="B92" s="8" t="s">
        <v>82</v>
      </c>
      <c r="C92" s="9">
        <f>TRUNC(((5/30)/12)*2%,4)</f>
        <v>2.0000000000000001E-4</v>
      </c>
      <c r="D92" s="13">
        <f t="shared" si="2"/>
        <v>0.81</v>
      </c>
    </row>
    <row r="93" spans="1:6" x14ac:dyDescent="0.2">
      <c r="A93" s="7" t="s">
        <v>10</v>
      </c>
      <c r="B93" s="8" t="s">
        <v>83</v>
      </c>
      <c r="C93" s="9">
        <f>TRUNC(((15/30)/12)*8%,4)</f>
        <v>3.3E-3</v>
      </c>
      <c r="D93" s="13">
        <f t="shared" si="2"/>
        <v>13.52</v>
      </c>
    </row>
    <row r="94" spans="1:6" x14ac:dyDescent="0.2">
      <c r="A94" s="7" t="s">
        <v>12</v>
      </c>
      <c r="B94" s="8" t="s">
        <v>84</v>
      </c>
      <c r="C94" s="9">
        <f>((1+1/3)/12)*3%*(4/12)</f>
        <v>1.1111111111111109E-3</v>
      </c>
      <c r="D94" s="13">
        <f t="shared" si="2"/>
        <v>4.55</v>
      </c>
    </row>
    <row r="95" spans="1:6" x14ac:dyDescent="0.2">
      <c r="A95" s="7" t="s">
        <v>32</v>
      </c>
      <c r="B95" s="8" t="s">
        <v>85</v>
      </c>
      <c r="C95" s="9"/>
      <c r="D95" s="13">
        <f t="shared" si="2"/>
        <v>0</v>
      </c>
    </row>
    <row r="96" spans="1:6" x14ac:dyDescent="0.2">
      <c r="A96" s="76" t="s">
        <v>37</v>
      </c>
      <c r="B96" s="76"/>
      <c r="C96" s="76"/>
      <c r="D96" s="19">
        <f>SUM(D90:D95)</f>
        <v>79.12</v>
      </c>
      <c r="E96" s="17"/>
      <c r="F96" s="17"/>
    </row>
    <row r="99" spans="1:4" x14ac:dyDescent="0.2">
      <c r="A99" s="77" t="s">
        <v>86</v>
      </c>
      <c r="B99" s="77"/>
      <c r="C99" s="77"/>
      <c r="D99" s="77"/>
    </row>
    <row r="100" spans="1:4" x14ac:dyDescent="0.2">
      <c r="A100" s="3"/>
    </row>
    <row r="101" spans="1:4" x14ac:dyDescent="0.2">
      <c r="A101" s="6" t="s">
        <v>53</v>
      </c>
      <c r="B101" s="78" t="s">
        <v>87</v>
      </c>
      <c r="C101" s="78"/>
      <c r="D101" s="6" t="s">
        <v>3</v>
      </c>
    </row>
    <row r="102" spans="1:4" x14ac:dyDescent="0.2">
      <c r="A102" s="7" t="s">
        <v>4</v>
      </c>
      <c r="B102" s="87" t="s">
        <v>88</v>
      </c>
      <c r="C102" s="88"/>
      <c r="D102" s="13">
        <f>((D26+D69+D81)/220)*22*0</f>
        <v>0</v>
      </c>
    </row>
    <row r="103" spans="1:4" x14ac:dyDescent="0.2">
      <c r="A103" s="76" t="s">
        <v>16</v>
      </c>
      <c r="B103" s="76"/>
      <c r="C103" s="76"/>
      <c r="D103" s="19">
        <f>SUM(D102)</f>
        <v>0</v>
      </c>
    </row>
    <row r="106" spans="1:4" x14ac:dyDescent="0.2">
      <c r="A106" s="77" t="s">
        <v>54</v>
      </c>
      <c r="B106" s="77"/>
      <c r="C106" s="77"/>
      <c r="D106" s="77"/>
    </row>
    <row r="107" spans="1:4" x14ac:dyDescent="0.2">
      <c r="A107" s="3"/>
    </row>
    <row r="108" spans="1:4" x14ac:dyDescent="0.2">
      <c r="A108" s="6">
        <v>4</v>
      </c>
      <c r="B108" s="76" t="s">
        <v>55</v>
      </c>
      <c r="C108" s="76"/>
      <c r="D108" s="6" t="s">
        <v>3</v>
      </c>
    </row>
    <row r="109" spans="1:4" x14ac:dyDescent="0.2">
      <c r="A109" s="7" t="s">
        <v>52</v>
      </c>
      <c r="B109" s="75" t="s">
        <v>79</v>
      </c>
      <c r="C109" s="75"/>
      <c r="D109" s="14">
        <f>D96</f>
        <v>79.12</v>
      </c>
    </row>
    <row r="110" spans="1:4" x14ac:dyDescent="0.2">
      <c r="A110" s="7" t="s">
        <v>53</v>
      </c>
      <c r="B110" s="75" t="s">
        <v>87</v>
      </c>
      <c r="C110" s="75"/>
      <c r="D110" s="14">
        <f>D103</f>
        <v>0</v>
      </c>
    </row>
    <row r="111" spans="1:4" x14ac:dyDescent="0.2">
      <c r="A111" s="76" t="s">
        <v>16</v>
      </c>
      <c r="B111" s="76"/>
      <c r="C111" s="76"/>
      <c r="D111" s="19">
        <f>SUM(D109:D110)</f>
        <v>79.12</v>
      </c>
    </row>
    <row r="114" spans="1:4" x14ac:dyDescent="0.2">
      <c r="A114" s="79" t="s">
        <v>56</v>
      </c>
      <c r="B114" s="79"/>
      <c r="C114" s="79"/>
      <c r="D114" s="79"/>
    </row>
    <row r="116" spans="1:4" x14ac:dyDescent="0.2">
      <c r="A116" s="6">
        <v>5</v>
      </c>
      <c r="B116" s="89" t="s">
        <v>57</v>
      </c>
      <c r="C116" s="89"/>
      <c r="D116" s="6" t="s">
        <v>3</v>
      </c>
    </row>
    <row r="117" spans="1:4" x14ac:dyDescent="0.2">
      <c r="A117" s="7" t="s">
        <v>4</v>
      </c>
      <c r="B117" s="8" t="s">
        <v>58</v>
      </c>
      <c r="C117" s="8"/>
      <c r="D117" s="13"/>
    </row>
    <row r="118" spans="1:4" x14ac:dyDescent="0.2">
      <c r="A118" s="7" t="s">
        <v>6</v>
      </c>
      <c r="B118" s="8" t="s">
        <v>59</v>
      </c>
      <c r="C118" s="8"/>
      <c r="D118" s="13"/>
    </row>
    <row r="119" spans="1:4" x14ac:dyDescent="0.2">
      <c r="A119" s="7" t="s">
        <v>8</v>
      </c>
      <c r="B119" s="8" t="s">
        <v>60</v>
      </c>
      <c r="C119" s="8"/>
      <c r="D119" s="13"/>
    </row>
    <row r="120" spans="1:4" x14ac:dyDescent="0.2">
      <c r="A120" s="7" t="s">
        <v>10</v>
      </c>
      <c r="B120" s="8" t="s">
        <v>15</v>
      </c>
      <c r="C120" s="8"/>
      <c r="D120" s="13"/>
    </row>
    <row r="121" spans="1:4" x14ac:dyDescent="0.2">
      <c r="A121" s="76" t="s">
        <v>37</v>
      </c>
      <c r="B121" s="76"/>
      <c r="C121" s="76"/>
      <c r="D121" s="20">
        <f>SUM(D117:D120)</f>
        <v>0</v>
      </c>
    </row>
    <row r="124" spans="1:4" x14ac:dyDescent="0.2">
      <c r="A124" s="79" t="s">
        <v>61</v>
      </c>
      <c r="B124" s="79"/>
      <c r="C124" s="79"/>
      <c r="D124" s="79"/>
    </row>
    <row r="126" spans="1:4" x14ac:dyDescent="0.2">
      <c r="A126" s="6">
        <v>6</v>
      </c>
      <c r="B126" s="11" t="s">
        <v>62</v>
      </c>
      <c r="C126" s="6" t="s">
        <v>26</v>
      </c>
      <c r="D126" s="6" t="s">
        <v>3</v>
      </c>
    </row>
    <row r="127" spans="1:4" x14ac:dyDescent="0.2">
      <c r="A127" s="7" t="s">
        <v>4</v>
      </c>
      <c r="B127" s="8" t="s">
        <v>63</v>
      </c>
      <c r="C127" s="9">
        <v>0.05</v>
      </c>
      <c r="D127" s="14">
        <f>D147*C127</f>
        <v>208.87788</v>
      </c>
    </row>
    <row r="128" spans="1:4" x14ac:dyDescent="0.2">
      <c r="A128" s="7" t="s">
        <v>6</v>
      </c>
      <c r="B128" s="8" t="s">
        <v>64</v>
      </c>
      <c r="C128" s="9">
        <v>0.06</v>
      </c>
      <c r="D128" s="13">
        <f>(D147+D127)*C128</f>
        <v>263.18612880000001</v>
      </c>
    </row>
    <row r="129" spans="1:4" x14ac:dyDescent="0.2">
      <c r="A129" s="7" t="s">
        <v>8</v>
      </c>
      <c r="B129" s="8" t="s">
        <v>65</v>
      </c>
      <c r="C129" s="12">
        <f>SUM(C130:C135)</f>
        <v>8.6499999999999994E-2</v>
      </c>
      <c r="D129" s="13">
        <f>(D147+D127+D128)*C129/(1-C129)</f>
        <v>440.27615671724135</v>
      </c>
    </row>
    <row r="130" spans="1:4" x14ac:dyDescent="0.2">
      <c r="A130" s="7"/>
      <c r="B130" s="8" t="s">
        <v>66</v>
      </c>
      <c r="C130" s="9"/>
      <c r="D130" s="14">
        <f>$D$149*C130</f>
        <v>0</v>
      </c>
    </row>
    <row r="131" spans="1:4" x14ac:dyDescent="0.2">
      <c r="A131" s="7"/>
      <c r="B131" s="25" t="s">
        <v>96</v>
      </c>
      <c r="C131" s="9">
        <v>6.4999999999999997E-3</v>
      </c>
      <c r="D131" s="14">
        <f t="shared" ref="D131:D132" si="3">$D$149*C131</f>
        <v>33.084349999999993</v>
      </c>
    </row>
    <row r="132" spans="1:4" x14ac:dyDescent="0.2">
      <c r="A132" s="7"/>
      <c r="B132" s="25" t="s">
        <v>97</v>
      </c>
      <c r="C132" s="9">
        <v>0.03</v>
      </c>
      <c r="D132" s="14">
        <f t="shared" si="3"/>
        <v>152.69699999999997</v>
      </c>
    </row>
    <row r="133" spans="1:4" x14ac:dyDescent="0.2">
      <c r="A133" s="7"/>
      <c r="B133" s="8" t="s">
        <v>67</v>
      </c>
      <c r="C133" s="7"/>
      <c r="D133" s="14">
        <f t="shared" ref="D133:D134" si="4">$D$149*C133</f>
        <v>0</v>
      </c>
    </row>
    <row r="134" spans="1:4" x14ac:dyDescent="0.2">
      <c r="A134" s="7"/>
      <c r="B134" s="8" t="s">
        <v>68</v>
      </c>
      <c r="C134" s="9"/>
      <c r="D134" s="14">
        <f t="shared" si="4"/>
        <v>0</v>
      </c>
    </row>
    <row r="135" spans="1:4" x14ac:dyDescent="0.2">
      <c r="A135" s="7"/>
      <c r="B135" s="25" t="s">
        <v>98</v>
      </c>
      <c r="C135" s="9">
        <v>0.05</v>
      </c>
      <c r="D135" s="14">
        <f t="shared" ref="D135" si="5">$D$149*C135</f>
        <v>254.495</v>
      </c>
    </row>
    <row r="136" spans="1:4" ht="13.5" x14ac:dyDescent="0.2">
      <c r="A136" s="84" t="s">
        <v>37</v>
      </c>
      <c r="B136" s="85"/>
      <c r="C136" s="21">
        <f>TRUNC((1+C128)*(1+C127)/(1-C129)-1,5)</f>
        <v>0.21839</v>
      </c>
      <c r="D136" s="19">
        <f>SUM(D127:D129)</f>
        <v>912.3401655172413</v>
      </c>
    </row>
    <row r="139" spans="1:4" x14ac:dyDescent="0.2">
      <c r="A139" s="79" t="s">
        <v>69</v>
      </c>
      <c r="B139" s="79"/>
      <c r="C139" s="79"/>
      <c r="D139" s="79"/>
    </row>
    <row r="141" spans="1:4" x14ac:dyDescent="0.2">
      <c r="A141" s="6"/>
      <c r="B141" s="76" t="s">
        <v>70</v>
      </c>
      <c r="C141" s="76"/>
      <c r="D141" s="6" t="s">
        <v>3</v>
      </c>
    </row>
    <row r="142" spans="1:4" x14ac:dyDescent="0.2">
      <c r="A142" s="6" t="s">
        <v>4</v>
      </c>
      <c r="B142" s="75" t="s">
        <v>1</v>
      </c>
      <c r="C142" s="75"/>
      <c r="D142" s="22">
        <f>D26</f>
        <v>2366.04</v>
      </c>
    </row>
    <row r="143" spans="1:4" x14ac:dyDescent="0.2">
      <c r="A143" s="6" t="s">
        <v>6</v>
      </c>
      <c r="B143" s="75" t="s">
        <v>17</v>
      </c>
      <c r="C143" s="75"/>
      <c r="D143" s="22">
        <f>D69</f>
        <v>1586.6876000000002</v>
      </c>
    </row>
    <row r="144" spans="1:4" x14ac:dyDescent="0.2">
      <c r="A144" s="6" t="s">
        <v>8</v>
      </c>
      <c r="B144" s="75" t="s">
        <v>46</v>
      </c>
      <c r="C144" s="75"/>
      <c r="D144" s="22">
        <f>D81</f>
        <v>145.71</v>
      </c>
    </row>
    <row r="145" spans="1:4" x14ac:dyDescent="0.2">
      <c r="A145" s="6" t="s">
        <v>10</v>
      </c>
      <c r="B145" s="75" t="s">
        <v>51</v>
      </c>
      <c r="C145" s="75"/>
      <c r="D145" s="22">
        <f>D111</f>
        <v>79.12</v>
      </c>
    </row>
    <row r="146" spans="1:4" x14ac:dyDescent="0.2">
      <c r="A146" s="6" t="s">
        <v>12</v>
      </c>
      <c r="B146" s="75" t="s">
        <v>56</v>
      </c>
      <c r="C146" s="75"/>
      <c r="D146" s="22">
        <f>D121</f>
        <v>0</v>
      </c>
    </row>
    <row r="147" spans="1:4" x14ac:dyDescent="0.2">
      <c r="A147" s="76" t="s">
        <v>95</v>
      </c>
      <c r="B147" s="76"/>
      <c r="C147" s="76"/>
      <c r="D147" s="23">
        <f>SUM(D142:D146)</f>
        <v>4177.5576000000001</v>
      </c>
    </row>
    <row r="148" spans="1:4" x14ac:dyDescent="0.2">
      <c r="A148" s="6" t="s">
        <v>32</v>
      </c>
      <c r="B148" s="75" t="s">
        <v>71</v>
      </c>
      <c r="C148" s="75"/>
      <c r="D148" s="24">
        <f>D136</f>
        <v>912.3401655172413</v>
      </c>
    </row>
    <row r="149" spans="1:4" x14ac:dyDescent="0.2">
      <c r="A149" s="76" t="s">
        <v>72</v>
      </c>
      <c r="B149" s="76"/>
      <c r="C149" s="76"/>
      <c r="D149" s="23">
        <f>ROUND(SUM(D147:D148),2)</f>
        <v>5089.8999999999996</v>
      </c>
    </row>
  </sheetData>
  <mergeCells count="70"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  <mergeCell ref="B148:C148"/>
    <mergeCell ref="A149:C149"/>
    <mergeCell ref="A124:D124"/>
    <mergeCell ref="B102:C102"/>
    <mergeCell ref="B110:C110"/>
    <mergeCell ref="A111:C111"/>
    <mergeCell ref="A114:D114"/>
    <mergeCell ref="B116:C116"/>
    <mergeCell ref="A121:C121"/>
    <mergeCell ref="A136:B136"/>
    <mergeCell ref="A139:D139"/>
    <mergeCell ref="B141:C141"/>
    <mergeCell ref="B142:C142"/>
    <mergeCell ref="B143:C143"/>
    <mergeCell ref="B144:C144"/>
    <mergeCell ref="B145:C145"/>
    <mergeCell ref="B101:C101"/>
    <mergeCell ref="A103:C103"/>
    <mergeCell ref="A106:D106"/>
    <mergeCell ref="B108:C108"/>
    <mergeCell ref="B109:C109"/>
    <mergeCell ref="A87:D87"/>
    <mergeCell ref="B89:C89"/>
    <mergeCell ref="B58:C58"/>
    <mergeCell ref="B59:C59"/>
    <mergeCell ref="A60:C60"/>
    <mergeCell ref="A84:D84"/>
    <mergeCell ref="A81:C81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5:B5"/>
    <mergeCell ref="B146:C146"/>
    <mergeCell ref="A147:C147"/>
    <mergeCell ref="A53:D53"/>
    <mergeCell ref="B55:C55"/>
    <mergeCell ref="B56:C56"/>
    <mergeCell ref="B57:C57"/>
    <mergeCell ref="A63:D63"/>
    <mergeCell ref="B65:C65"/>
    <mergeCell ref="B66:C66"/>
    <mergeCell ref="B67:C67"/>
    <mergeCell ref="B68:C68"/>
    <mergeCell ref="A69:C69"/>
    <mergeCell ref="A72:D72"/>
    <mergeCell ref="B74:C74"/>
    <mergeCell ref="A96:C96"/>
    <mergeCell ref="A99:D99"/>
  </mergeCells>
  <pageMargins left="0.511811024" right="0.511811024" top="1.09375" bottom="0.78740157499999996" header="0.31496062000000002" footer="0.31496062000000002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view="pageBreakPreview" topLeftCell="A10" zoomScaleNormal="100" zoomScaleSheetLayoutView="100" workbookViewId="0">
      <selection activeCell="A16" sqref="A16"/>
    </sheetView>
  </sheetViews>
  <sheetFormatPr defaultRowHeight="15" x14ac:dyDescent="0.25"/>
  <cols>
    <col min="1" max="1" width="15.7109375" style="39" customWidth="1"/>
    <col min="2" max="2" width="30.7109375" style="41" customWidth="1"/>
    <col min="3" max="6" width="15.7109375" style="39" customWidth="1"/>
    <col min="7" max="16384" width="9.140625" style="39"/>
  </cols>
  <sheetData>
    <row r="1" spans="1:6" x14ac:dyDescent="0.25">
      <c r="A1" s="51" t="s">
        <v>155</v>
      </c>
    </row>
    <row r="3" spans="1:6" x14ac:dyDescent="0.25">
      <c r="A3" s="51" t="s">
        <v>166</v>
      </c>
    </row>
    <row r="4" spans="1:6" s="41" customFormat="1" ht="30" x14ac:dyDescent="0.25">
      <c r="A4" s="48" t="s">
        <v>156</v>
      </c>
      <c r="B4" s="48" t="s">
        <v>157</v>
      </c>
      <c r="C4" s="48" t="s">
        <v>160</v>
      </c>
      <c r="D4" s="48" t="s">
        <v>146</v>
      </c>
      <c r="E4" s="48" t="s">
        <v>158</v>
      </c>
      <c r="F4" s="48" t="s">
        <v>159</v>
      </c>
    </row>
    <row r="5" spans="1:6" x14ac:dyDescent="0.25">
      <c r="A5" s="58">
        <v>1</v>
      </c>
      <c r="B5" s="42" t="str">
        <f>assistenterp!A6</f>
        <v>Assistente de Relações Públicas</v>
      </c>
      <c r="C5" s="63">
        <f>assistenterp!D149</f>
        <v>5089.8999999999996</v>
      </c>
      <c r="D5" s="58">
        <f>assistenterp!D6</f>
        <v>2</v>
      </c>
      <c r="E5" s="63">
        <f t="shared" ref="E5:E9" si="0">D5*C5</f>
        <v>10179.799999999999</v>
      </c>
      <c r="F5" s="63">
        <f>E5*12</f>
        <v>122157.59999999999</v>
      </c>
    </row>
    <row r="6" spans="1:6" x14ac:dyDescent="0.25">
      <c r="A6" s="58">
        <v>2</v>
      </c>
      <c r="B6" s="42" t="str">
        <f>redator!A6</f>
        <v>Redator</v>
      </c>
      <c r="C6" s="63">
        <f>redator!D149</f>
        <v>7717.23</v>
      </c>
      <c r="D6" s="58">
        <f>redator!D6</f>
        <v>4</v>
      </c>
      <c r="E6" s="63">
        <f t="shared" si="0"/>
        <v>30868.92</v>
      </c>
      <c r="F6" s="63">
        <f t="shared" ref="F6:F9" si="1">E6*12</f>
        <v>370427.04</v>
      </c>
    </row>
    <row r="7" spans="1:6" x14ac:dyDescent="0.25">
      <c r="A7" s="58">
        <v>3</v>
      </c>
      <c r="B7" s="42" t="str">
        <f>editor!A6</f>
        <v>Editor</v>
      </c>
      <c r="C7" s="63">
        <f>editor!D149</f>
        <v>8800.51</v>
      </c>
      <c r="D7" s="58">
        <f>editor!D6</f>
        <v>2</v>
      </c>
      <c r="E7" s="63">
        <f t="shared" si="0"/>
        <v>17601.02</v>
      </c>
      <c r="F7" s="63">
        <f t="shared" si="1"/>
        <v>211212.24</v>
      </c>
    </row>
    <row r="8" spans="1:6" x14ac:dyDescent="0.25">
      <c r="A8" s="58">
        <v>4</v>
      </c>
      <c r="B8" s="42" t="str">
        <f>designer!A6</f>
        <v>Designer Gráfico</v>
      </c>
      <c r="C8" s="63">
        <f>designer!D149</f>
        <v>5939.96</v>
      </c>
      <c r="D8" s="58">
        <f>designer!D6</f>
        <v>1</v>
      </c>
      <c r="E8" s="63">
        <f t="shared" si="0"/>
        <v>5939.96</v>
      </c>
      <c r="F8" s="63">
        <f t="shared" si="1"/>
        <v>71279.520000000004</v>
      </c>
    </row>
    <row r="9" spans="1:6" x14ac:dyDescent="0.25">
      <c r="A9" s="58">
        <v>5</v>
      </c>
      <c r="B9" s="42" t="str">
        <f>assistenteadm!A6</f>
        <v>Assistente Administrativo</v>
      </c>
      <c r="C9" s="63">
        <f>assistenteadm!D149</f>
        <v>3853.46</v>
      </c>
      <c r="D9" s="58">
        <f>assistenteadm!D6</f>
        <v>1</v>
      </c>
      <c r="E9" s="63">
        <f t="shared" si="0"/>
        <v>3853.46</v>
      </c>
      <c r="F9" s="63">
        <f t="shared" si="1"/>
        <v>46241.520000000004</v>
      </c>
    </row>
    <row r="10" spans="1:6" x14ac:dyDescent="0.25">
      <c r="C10" s="66" t="s">
        <v>130</v>
      </c>
      <c r="D10" s="67">
        <f>SUM(D5:D9)</f>
        <v>10</v>
      </c>
      <c r="E10" s="68">
        <f>SUM(E5:E9)</f>
        <v>68443.16</v>
      </c>
      <c r="F10" s="68">
        <f>SUM(F5:F9)</f>
        <v>821317.91999999993</v>
      </c>
    </row>
    <row r="12" spans="1:6" x14ac:dyDescent="0.25">
      <c r="A12" s="51" t="s">
        <v>165</v>
      </c>
    </row>
    <row r="13" spans="1:6" ht="30" x14ac:dyDescent="0.25">
      <c r="A13" s="48" t="s">
        <v>156</v>
      </c>
      <c r="B13" s="48" t="s">
        <v>157</v>
      </c>
      <c r="C13" s="48" t="s">
        <v>160</v>
      </c>
      <c r="D13" s="48" t="s">
        <v>146</v>
      </c>
      <c r="E13" s="48" t="s">
        <v>158</v>
      </c>
      <c r="F13" s="48" t="s">
        <v>161</v>
      </c>
    </row>
    <row r="14" spans="1:6" ht="30" x14ac:dyDescent="0.25">
      <c r="A14" s="58">
        <v>6</v>
      </c>
      <c r="B14" s="42" t="str">
        <f>redatorad!A6</f>
        <v>Redator - acréscimo por 7 meses em anos eleitorais</v>
      </c>
      <c r="C14" s="63">
        <f>redatorad!D149</f>
        <v>7336.56</v>
      </c>
      <c r="D14" s="58">
        <f>redatorad!D6</f>
        <v>2</v>
      </c>
      <c r="E14" s="63">
        <f t="shared" ref="E14:E15" si="2">D14*C14</f>
        <v>14673.12</v>
      </c>
      <c r="F14" s="63">
        <f>E14*7</f>
        <v>102711.84000000001</v>
      </c>
    </row>
    <row r="15" spans="1:6" ht="30" x14ac:dyDescent="0.25">
      <c r="A15" s="58">
        <v>7</v>
      </c>
      <c r="B15" s="42" t="str">
        <f>designerad!A6</f>
        <v>Designer Gráfico - acréscimo por 7 meses em anos eleitorais</v>
      </c>
      <c r="C15" s="63">
        <f>designerad!D149</f>
        <v>5649.41</v>
      </c>
      <c r="D15" s="58">
        <f>designerad!D6</f>
        <v>1</v>
      </c>
      <c r="E15" s="63">
        <f t="shared" si="2"/>
        <v>5649.41</v>
      </c>
      <c r="F15" s="63">
        <f>E15*7</f>
        <v>39545.869999999995</v>
      </c>
    </row>
    <row r="16" spans="1:6" x14ac:dyDescent="0.25">
      <c r="C16" s="66" t="s">
        <v>130</v>
      </c>
      <c r="D16" s="67">
        <f>SUM(D14:D15)</f>
        <v>3</v>
      </c>
      <c r="E16" s="68">
        <f>SUM(E14:E15)</f>
        <v>20322.53</v>
      </c>
      <c r="F16" s="68">
        <f>SUM(F14:F15)</f>
        <v>142257.71000000002</v>
      </c>
    </row>
    <row r="18" spans="1:6" x14ac:dyDescent="0.25">
      <c r="A18" s="65" t="s">
        <v>162</v>
      </c>
      <c r="B18" s="64"/>
      <c r="C18" s="61"/>
      <c r="D18" s="61"/>
      <c r="E18" s="61"/>
      <c r="F18" s="61"/>
    </row>
    <row r="19" spans="1:6" x14ac:dyDescent="0.25">
      <c r="E19" s="66" t="s">
        <v>130</v>
      </c>
      <c r="F19" s="68">
        <f>horaextra!C41</f>
        <v>85734.199999999983</v>
      </c>
    </row>
    <row r="21" spans="1:6" x14ac:dyDescent="0.25">
      <c r="A21" s="65" t="s">
        <v>163</v>
      </c>
      <c r="B21" s="64"/>
      <c r="C21" s="61"/>
      <c r="D21" s="61"/>
      <c r="E21" s="61"/>
      <c r="F21" s="61"/>
    </row>
    <row r="22" spans="1:6" x14ac:dyDescent="0.25">
      <c r="E22" s="66" t="s">
        <v>130</v>
      </c>
      <c r="F22" s="68">
        <f>diáriasdeslocamentos!C9</f>
        <v>9493.6</v>
      </c>
    </row>
    <row r="24" spans="1:6" x14ac:dyDescent="0.25">
      <c r="A24" s="65" t="s">
        <v>164</v>
      </c>
      <c r="B24" s="64"/>
      <c r="C24" s="61"/>
      <c r="D24" s="61"/>
      <c r="E24" s="61"/>
      <c r="F24" s="61"/>
    </row>
    <row r="25" spans="1:6" x14ac:dyDescent="0.25">
      <c r="E25" s="66" t="s">
        <v>130</v>
      </c>
      <c r="F25" s="68">
        <f>diáriasdeslocamentos!C15</f>
        <v>12183.899999999998</v>
      </c>
    </row>
    <row r="27" spans="1:6" x14ac:dyDescent="0.25">
      <c r="B27" s="97" t="s">
        <v>169</v>
      </c>
      <c r="C27" s="97"/>
      <c r="D27" s="97"/>
      <c r="E27" s="97"/>
    </row>
    <row r="29" spans="1:6" x14ac:dyDescent="0.25">
      <c r="B29" s="69" t="s">
        <v>167</v>
      </c>
      <c r="C29" s="61"/>
      <c r="D29" s="61"/>
      <c r="E29" s="61"/>
    </row>
    <row r="30" spans="1:6" x14ac:dyDescent="0.25">
      <c r="B30" s="43" t="str">
        <f>A3</f>
        <v>Postos Regulares - Valor Anual</v>
      </c>
      <c r="C30" s="49"/>
      <c r="D30" s="71"/>
      <c r="E30" s="63">
        <f>F10</f>
        <v>821317.91999999993</v>
      </c>
    </row>
    <row r="31" spans="1:6" x14ac:dyDescent="0.25">
      <c r="B31" s="43" t="str">
        <f>A21</f>
        <v>Diárias - Valor Anual</v>
      </c>
      <c r="C31" s="49"/>
      <c r="D31" s="71"/>
      <c r="E31" s="63">
        <f>F22</f>
        <v>9493.6</v>
      </c>
    </row>
    <row r="32" spans="1:6" x14ac:dyDescent="0.25">
      <c r="B32" s="43" t="str">
        <f>A24</f>
        <v>Deslocamentos - Valor Anual</v>
      </c>
      <c r="C32" s="49"/>
      <c r="D32" s="71"/>
      <c r="E32" s="63">
        <f>F25</f>
        <v>12183.899999999998</v>
      </c>
    </row>
    <row r="33" spans="2:5" x14ac:dyDescent="0.25">
      <c r="D33" s="70" t="s">
        <v>170</v>
      </c>
      <c r="E33" s="68">
        <f>SUM(E30:E32)</f>
        <v>842995.41999999993</v>
      </c>
    </row>
    <row r="34" spans="2:5" x14ac:dyDescent="0.25">
      <c r="B34" s="69" t="s">
        <v>168</v>
      </c>
      <c r="C34" s="61"/>
      <c r="D34" s="61"/>
      <c r="E34" s="61"/>
    </row>
    <row r="35" spans="2:5" x14ac:dyDescent="0.25">
      <c r="B35" s="43" t="str">
        <f>A3</f>
        <v>Postos Regulares - Valor Anual</v>
      </c>
      <c r="C35" s="49"/>
      <c r="D35" s="71"/>
      <c r="E35" s="63">
        <f>F10</f>
        <v>821317.91999999993</v>
      </c>
    </row>
    <row r="36" spans="2:5" x14ac:dyDescent="0.25">
      <c r="B36" s="43" t="str">
        <f>A12</f>
        <v>Acréscimo Temporário - Ano Eleitoral</v>
      </c>
      <c r="C36" s="49"/>
      <c r="D36" s="71"/>
      <c r="E36" s="63">
        <f>F16</f>
        <v>142257.71000000002</v>
      </c>
    </row>
    <row r="37" spans="2:5" x14ac:dyDescent="0.25">
      <c r="B37" s="43" t="str">
        <f>A18</f>
        <v>Horas Suplementares - Ano Eleitoral</v>
      </c>
      <c r="C37" s="49"/>
      <c r="D37" s="71"/>
      <c r="E37" s="63">
        <f>F19</f>
        <v>85734.199999999983</v>
      </c>
    </row>
    <row r="38" spans="2:5" x14ac:dyDescent="0.25">
      <c r="B38" s="43" t="str">
        <f>A21</f>
        <v>Diárias - Valor Anual</v>
      </c>
      <c r="C38" s="49"/>
      <c r="D38" s="71"/>
      <c r="E38" s="63">
        <f>F22</f>
        <v>9493.6</v>
      </c>
    </row>
    <row r="39" spans="2:5" x14ac:dyDescent="0.25">
      <c r="B39" s="43" t="str">
        <f>A24</f>
        <v>Deslocamentos - Valor Anual</v>
      </c>
      <c r="C39" s="49"/>
      <c r="D39" s="71"/>
      <c r="E39" s="63">
        <f>F25</f>
        <v>12183.899999999998</v>
      </c>
    </row>
    <row r="40" spans="2:5" x14ac:dyDescent="0.25">
      <c r="D40" s="66" t="s">
        <v>171</v>
      </c>
      <c r="E40" s="68">
        <f>SUM(E35:E39)</f>
        <v>1070987.3299999998</v>
      </c>
    </row>
    <row r="41" spans="2:5" x14ac:dyDescent="0.25">
      <c r="E41" s="40"/>
    </row>
    <row r="42" spans="2:5" x14ac:dyDescent="0.25">
      <c r="B42" s="72" t="s">
        <v>172</v>
      </c>
      <c r="C42" s="73"/>
      <c r="D42" s="74" t="s">
        <v>173</v>
      </c>
      <c r="E42" s="53">
        <f>E33+E40</f>
        <v>1913982.7499999998</v>
      </c>
    </row>
  </sheetData>
  <mergeCells count="1">
    <mergeCell ref="B27:E27"/>
  </mergeCells>
  <pageMargins left="0.511811024" right="0.511811024" top="1.09375" bottom="0.78740157499999996" header="0.31496062000000002" footer="0.31496062000000002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topLeftCell="A10" zoomScale="115" zoomScaleNormal="115" workbookViewId="0">
      <selection activeCell="D56" sqref="D5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0" t="s">
        <v>0</v>
      </c>
      <c r="B1" s="80"/>
      <c r="C1" s="80"/>
      <c r="D1" s="80"/>
    </row>
    <row r="2" spans="1:4" ht="15.75" x14ac:dyDescent="0.25">
      <c r="A2" s="26"/>
      <c r="B2" s="26"/>
      <c r="C2" s="26"/>
      <c r="D2" s="26"/>
    </row>
    <row r="3" spans="1:4" x14ac:dyDescent="0.2">
      <c r="A3" s="82" t="s">
        <v>89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ht="38.25" x14ac:dyDescent="0.2">
      <c r="A5" s="83" t="s">
        <v>90</v>
      </c>
      <c r="B5" s="83"/>
      <c r="C5" s="29" t="s">
        <v>91</v>
      </c>
      <c r="D5" s="27" t="s">
        <v>92</v>
      </c>
    </row>
    <row r="6" spans="1:4" x14ac:dyDescent="0.2">
      <c r="A6" s="90" t="s">
        <v>104</v>
      </c>
      <c r="B6" s="90"/>
      <c r="C6" s="37" t="s">
        <v>102</v>
      </c>
      <c r="D6" s="37">
        <v>4</v>
      </c>
    </row>
    <row r="8" spans="1:4" x14ac:dyDescent="0.2">
      <c r="A8" s="82" t="s">
        <v>73</v>
      </c>
      <c r="B8" s="82"/>
      <c r="C8" s="82"/>
      <c r="D8" s="82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1" t="s">
        <v>104</v>
      </c>
      <c r="D10" s="92"/>
    </row>
    <row r="11" spans="1:4" x14ac:dyDescent="0.2">
      <c r="A11" s="5">
        <v>2</v>
      </c>
      <c r="B11" s="5" t="s">
        <v>93</v>
      </c>
      <c r="C11" s="91" t="s">
        <v>105</v>
      </c>
      <c r="D11" s="92"/>
    </row>
    <row r="12" spans="1:4" x14ac:dyDescent="0.2">
      <c r="A12" s="5">
        <v>3</v>
      </c>
      <c r="B12" s="5" t="s">
        <v>75</v>
      </c>
      <c r="C12" s="91"/>
      <c r="D12" s="92"/>
    </row>
    <row r="13" spans="1:4" x14ac:dyDescent="0.2">
      <c r="A13" s="5">
        <v>4</v>
      </c>
      <c r="B13" s="5" t="s">
        <v>76</v>
      </c>
      <c r="C13" s="91"/>
      <c r="D13" s="92"/>
    </row>
    <row r="14" spans="1:4" x14ac:dyDescent="0.2">
      <c r="A14" s="5">
        <v>5</v>
      </c>
      <c r="B14" s="5" t="s">
        <v>77</v>
      </c>
      <c r="C14" s="91"/>
      <c r="D14" s="92"/>
    </row>
    <row r="16" spans="1:4" x14ac:dyDescent="0.2">
      <c r="A16" s="82" t="s">
        <v>1</v>
      </c>
      <c r="B16" s="82"/>
      <c r="C16" s="82"/>
      <c r="D16" s="82"/>
    </row>
    <row r="18" spans="1:4" x14ac:dyDescent="0.2">
      <c r="A18" s="30">
        <v>1</v>
      </c>
      <c r="B18" s="76" t="s">
        <v>2</v>
      </c>
      <c r="C18" s="76"/>
      <c r="D18" s="30" t="s">
        <v>3</v>
      </c>
    </row>
    <row r="19" spans="1:4" x14ac:dyDescent="0.2">
      <c r="A19" s="29" t="s">
        <v>4</v>
      </c>
      <c r="B19" s="75" t="s">
        <v>5</v>
      </c>
      <c r="C19" s="75"/>
      <c r="D19" s="13">
        <v>3659.5</v>
      </c>
    </row>
    <row r="20" spans="1:4" x14ac:dyDescent="0.2">
      <c r="A20" s="29" t="s">
        <v>6</v>
      </c>
      <c r="B20" s="75" t="s">
        <v>7</v>
      </c>
      <c r="C20" s="75"/>
      <c r="D20" s="13"/>
    </row>
    <row r="21" spans="1:4" x14ac:dyDescent="0.2">
      <c r="A21" s="29" t="s">
        <v>8</v>
      </c>
      <c r="B21" s="75" t="s">
        <v>9</v>
      </c>
      <c r="C21" s="75"/>
      <c r="D21" s="13"/>
    </row>
    <row r="22" spans="1:4" x14ac:dyDescent="0.2">
      <c r="A22" s="29" t="s">
        <v>10</v>
      </c>
      <c r="B22" s="75" t="s">
        <v>11</v>
      </c>
      <c r="C22" s="75"/>
      <c r="D22" s="13"/>
    </row>
    <row r="23" spans="1:4" x14ac:dyDescent="0.2">
      <c r="A23" s="29" t="s">
        <v>12</v>
      </c>
      <c r="B23" s="75" t="s">
        <v>13</v>
      </c>
      <c r="C23" s="75"/>
      <c r="D23" s="13"/>
    </row>
    <row r="24" spans="1:4" x14ac:dyDescent="0.2">
      <c r="A24" s="29"/>
      <c r="B24" s="75"/>
      <c r="C24" s="75"/>
      <c r="D24" s="13"/>
    </row>
    <row r="25" spans="1:4" x14ac:dyDescent="0.2">
      <c r="A25" s="29" t="s">
        <v>14</v>
      </c>
      <c r="B25" s="75" t="s">
        <v>15</v>
      </c>
      <c r="C25" s="75"/>
      <c r="D25" s="13"/>
    </row>
    <row r="26" spans="1:4" x14ac:dyDescent="0.2">
      <c r="A26" s="76" t="s">
        <v>16</v>
      </c>
      <c r="B26" s="76"/>
      <c r="C26" s="76"/>
      <c r="D26" s="20">
        <f>SUM(D19:D25)</f>
        <v>3659.5</v>
      </c>
    </row>
    <row r="29" spans="1:4" x14ac:dyDescent="0.2">
      <c r="A29" s="79" t="s">
        <v>17</v>
      </c>
      <c r="B29" s="79"/>
      <c r="C29" s="79"/>
      <c r="D29" s="79"/>
    </row>
    <row r="30" spans="1:4" x14ac:dyDescent="0.2">
      <c r="A30" s="3"/>
    </row>
    <row r="31" spans="1:4" x14ac:dyDescent="0.2">
      <c r="A31" s="77" t="s">
        <v>18</v>
      </c>
      <c r="B31" s="77"/>
      <c r="C31" s="77"/>
      <c r="D31" s="77"/>
    </row>
    <row r="33" spans="1:4" x14ac:dyDescent="0.2">
      <c r="A33" s="30" t="s">
        <v>19</v>
      </c>
      <c r="B33" s="76" t="s">
        <v>20</v>
      </c>
      <c r="C33" s="76"/>
      <c r="D33" s="30" t="s">
        <v>3</v>
      </c>
    </row>
    <row r="34" spans="1:4" x14ac:dyDescent="0.2">
      <c r="A34" s="29" t="s">
        <v>4</v>
      </c>
      <c r="B34" s="31" t="s">
        <v>21</v>
      </c>
      <c r="C34" s="12">
        <f>TRUNC(1/12,4)</f>
        <v>8.3299999999999999E-2</v>
      </c>
      <c r="D34" s="13">
        <f>TRUNC($D$26*C34,2)</f>
        <v>304.83</v>
      </c>
    </row>
    <row r="35" spans="1:4" x14ac:dyDescent="0.2">
      <c r="A35" s="29" t="s">
        <v>6</v>
      </c>
      <c r="B35" s="31" t="s">
        <v>22</v>
      </c>
      <c r="C35" s="12">
        <f>TRUNC(((1+1/3)/12),4)</f>
        <v>0.1111</v>
      </c>
      <c r="D35" s="13">
        <f>TRUNC($D$26*C35,2)</f>
        <v>406.57</v>
      </c>
    </row>
    <row r="36" spans="1:4" x14ac:dyDescent="0.2">
      <c r="A36" s="76" t="s">
        <v>16</v>
      </c>
      <c r="B36" s="76"/>
      <c r="C36" s="28">
        <f>TRUNC(SUM(C34:C35),5)</f>
        <v>0.19439999999999999</v>
      </c>
      <c r="D36" s="19">
        <f>SUM(D34:D35)</f>
        <v>711.4</v>
      </c>
    </row>
    <row r="39" spans="1:4" x14ac:dyDescent="0.2">
      <c r="A39" s="81" t="s">
        <v>23</v>
      </c>
      <c r="B39" s="81"/>
      <c r="C39" s="81"/>
      <c r="D39" s="81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29" t="s">
        <v>4</v>
      </c>
      <c r="B42" s="31" t="s">
        <v>27</v>
      </c>
      <c r="C42" s="9">
        <v>0.2</v>
      </c>
      <c r="D42" s="13">
        <f>TRUNC(($D$26+$D$36)*C42,2)</f>
        <v>874.18</v>
      </c>
    </row>
    <row r="43" spans="1:4" x14ac:dyDescent="0.2">
      <c r="A43" s="29" t="s">
        <v>6</v>
      </c>
      <c r="B43" s="31" t="s">
        <v>28</v>
      </c>
      <c r="C43" s="9">
        <v>2.5000000000000001E-2</v>
      </c>
      <c r="D43" s="13">
        <f t="shared" ref="D43:D49" si="0">TRUNC(($D$26+$D$36)*C43,2)</f>
        <v>109.27</v>
      </c>
    </row>
    <row r="44" spans="1:4" x14ac:dyDescent="0.2">
      <c r="A44" s="29" t="s">
        <v>8</v>
      </c>
      <c r="B44" s="31" t="s">
        <v>29</v>
      </c>
      <c r="C44" s="16">
        <v>0.03</v>
      </c>
      <c r="D44" s="13">
        <f t="shared" si="0"/>
        <v>131.12</v>
      </c>
    </row>
    <row r="45" spans="1:4" x14ac:dyDescent="0.2">
      <c r="A45" s="29" t="s">
        <v>10</v>
      </c>
      <c r="B45" s="31" t="s">
        <v>30</v>
      </c>
      <c r="C45" s="9">
        <v>1.4999999999999999E-2</v>
      </c>
      <c r="D45" s="13">
        <f t="shared" si="0"/>
        <v>65.56</v>
      </c>
    </row>
    <row r="46" spans="1:4" x14ac:dyDescent="0.2">
      <c r="A46" s="29" t="s">
        <v>12</v>
      </c>
      <c r="B46" s="31" t="s">
        <v>31</v>
      </c>
      <c r="C46" s="9">
        <v>0.01</v>
      </c>
      <c r="D46" s="13">
        <f t="shared" si="0"/>
        <v>43.7</v>
      </c>
    </row>
    <row r="47" spans="1:4" x14ac:dyDescent="0.2">
      <c r="A47" s="29" t="s">
        <v>32</v>
      </c>
      <c r="B47" s="31" t="s">
        <v>33</v>
      </c>
      <c r="C47" s="9">
        <v>6.0000000000000001E-3</v>
      </c>
      <c r="D47" s="13">
        <f t="shared" si="0"/>
        <v>26.22</v>
      </c>
    </row>
    <row r="48" spans="1:4" x14ac:dyDescent="0.2">
      <c r="A48" s="29" t="s">
        <v>14</v>
      </c>
      <c r="B48" s="31" t="s">
        <v>34</v>
      </c>
      <c r="C48" s="9">
        <v>2E-3</v>
      </c>
      <c r="D48" s="13">
        <f t="shared" si="0"/>
        <v>8.74</v>
      </c>
    </row>
    <row r="49" spans="1:4" x14ac:dyDescent="0.2">
      <c r="A49" s="29" t="s">
        <v>35</v>
      </c>
      <c r="B49" s="31" t="s">
        <v>36</v>
      </c>
      <c r="C49" s="9">
        <v>0.08</v>
      </c>
      <c r="D49" s="13">
        <f t="shared" si="0"/>
        <v>349.67</v>
      </c>
    </row>
    <row r="50" spans="1:4" x14ac:dyDescent="0.2">
      <c r="A50" s="76" t="s">
        <v>37</v>
      </c>
      <c r="B50" s="76"/>
      <c r="C50" s="15">
        <f>SUM(C42:C49)</f>
        <v>0.36800000000000005</v>
      </c>
      <c r="D50" s="19">
        <f>SUM(D42:D49)</f>
        <v>1608.46</v>
      </c>
    </row>
    <row r="53" spans="1:4" x14ac:dyDescent="0.2">
      <c r="A53" s="77" t="s">
        <v>38</v>
      </c>
      <c r="B53" s="77"/>
      <c r="C53" s="77"/>
      <c r="D53" s="77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29" t="s">
        <v>4</v>
      </c>
      <c r="B56" s="75" t="s">
        <v>41</v>
      </c>
      <c r="C56" s="75"/>
      <c r="D56" s="13">
        <f>IF((22*2*5.2)-(D19*0.06)&gt;0,(22*2*5.2)-(D19*0.06),0)</f>
        <v>9.2300000000000182</v>
      </c>
    </row>
    <row r="57" spans="1:4" x14ac:dyDescent="0.2">
      <c r="A57" s="29" t="s">
        <v>6</v>
      </c>
      <c r="B57" s="75" t="s">
        <v>42</v>
      </c>
      <c r="C57" s="75"/>
      <c r="D57" s="13"/>
    </row>
    <row r="58" spans="1:4" x14ac:dyDescent="0.2">
      <c r="A58" s="29" t="s">
        <v>8</v>
      </c>
      <c r="B58" s="75" t="s">
        <v>43</v>
      </c>
      <c r="C58" s="75"/>
      <c r="D58" s="13"/>
    </row>
    <row r="59" spans="1:4" x14ac:dyDescent="0.2">
      <c r="A59" s="29" t="s">
        <v>10</v>
      </c>
      <c r="B59" s="75" t="s">
        <v>15</v>
      </c>
      <c r="C59" s="75"/>
      <c r="D59" s="13"/>
    </row>
    <row r="60" spans="1:4" x14ac:dyDescent="0.2">
      <c r="A60" s="76" t="s">
        <v>16</v>
      </c>
      <c r="B60" s="76"/>
      <c r="C60" s="76"/>
      <c r="D60" s="19">
        <f>SUM(D56:D59)</f>
        <v>9.2300000000000182</v>
      </c>
    </row>
    <row r="63" spans="1:4" x14ac:dyDescent="0.2">
      <c r="A63" s="77" t="s">
        <v>44</v>
      </c>
      <c r="B63" s="77"/>
      <c r="C63" s="77"/>
      <c r="D63" s="77"/>
    </row>
    <row r="65" spans="1:5" x14ac:dyDescent="0.2">
      <c r="A65" s="30">
        <v>2</v>
      </c>
      <c r="B65" s="78" t="s">
        <v>45</v>
      </c>
      <c r="C65" s="78"/>
      <c r="D65" s="30" t="s">
        <v>3</v>
      </c>
    </row>
    <row r="66" spans="1:5" x14ac:dyDescent="0.2">
      <c r="A66" s="29" t="s">
        <v>19</v>
      </c>
      <c r="B66" s="75" t="s">
        <v>20</v>
      </c>
      <c r="C66" s="75"/>
      <c r="D66" s="14">
        <f>D36</f>
        <v>711.4</v>
      </c>
    </row>
    <row r="67" spans="1:5" x14ac:dyDescent="0.2">
      <c r="A67" s="29" t="s">
        <v>24</v>
      </c>
      <c r="B67" s="75" t="s">
        <v>25</v>
      </c>
      <c r="C67" s="75"/>
      <c r="D67" s="14">
        <f>D50</f>
        <v>1608.46</v>
      </c>
    </row>
    <row r="68" spans="1:5" x14ac:dyDescent="0.2">
      <c r="A68" s="29" t="s">
        <v>39</v>
      </c>
      <c r="B68" s="75" t="s">
        <v>40</v>
      </c>
      <c r="C68" s="75"/>
      <c r="D68" s="14">
        <f>D60</f>
        <v>9.2300000000000182</v>
      </c>
    </row>
    <row r="69" spans="1:5" x14ac:dyDescent="0.2">
      <c r="A69" s="76" t="s">
        <v>16</v>
      </c>
      <c r="B69" s="76"/>
      <c r="C69" s="76"/>
      <c r="D69" s="19">
        <f>SUM(D66:D68)</f>
        <v>2329.09</v>
      </c>
    </row>
    <row r="70" spans="1:5" x14ac:dyDescent="0.2">
      <c r="A70" s="4"/>
      <c r="E70" s="18"/>
    </row>
    <row r="72" spans="1:5" x14ac:dyDescent="0.2">
      <c r="A72" s="79" t="s">
        <v>46</v>
      </c>
      <c r="B72" s="79"/>
      <c r="C72" s="79"/>
      <c r="D72" s="79"/>
      <c r="E72" s="17"/>
    </row>
    <row r="73" spans="1:5" ht="12.75" customHeight="1" x14ac:dyDescent="0.2">
      <c r="E73" s="18"/>
    </row>
    <row r="74" spans="1:5" x14ac:dyDescent="0.2">
      <c r="A74" s="30">
        <v>3</v>
      </c>
      <c r="B74" s="78" t="s">
        <v>47</v>
      </c>
      <c r="C74" s="78"/>
      <c r="D74" s="30" t="s">
        <v>3</v>
      </c>
    </row>
    <row r="75" spans="1:5" x14ac:dyDescent="0.2">
      <c r="A75" s="29" t="s">
        <v>4</v>
      </c>
      <c r="B75" s="10" t="s">
        <v>48</v>
      </c>
      <c r="C75" s="9">
        <f>TRUNC(((1/12)*5%),4)</f>
        <v>4.1000000000000003E-3</v>
      </c>
      <c r="D75" s="13">
        <f>TRUNC($D$26*C75,2)</f>
        <v>15</v>
      </c>
    </row>
    <row r="76" spans="1:5" x14ac:dyDescent="0.2">
      <c r="A76" s="29" t="s">
        <v>6</v>
      </c>
      <c r="B76" s="10" t="s">
        <v>49</v>
      </c>
      <c r="C76" s="9">
        <v>0.08</v>
      </c>
      <c r="D76" s="13">
        <f>TRUNC(D75*C76,2)</f>
        <v>1.2</v>
      </c>
    </row>
    <row r="77" spans="1:5" x14ac:dyDescent="0.2">
      <c r="A77" s="29" t="s">
        <v>8</v>
      </c>
      <c r="B77" s="10" t="s">
        <v>99</v>
      </c>
      <c r="C77" s="9">
        <f>TRUNC(8%*5%*40%,4)</f>
        <v>1.6000000000000001E-3</v>
      </c>
      <c r="D77" s="13">
        <f>TRUNC($D$26*C77,2)</f>
        <v>5.85</v>
      </c>
    </row>
    <row r="78" spans="1:5" x14ac:dyDescent="0.2">
      <c r="A78" s="29" t="s">
        <v>10</v>
      </c>
      <c r="B78" s="10" t="s">
        <v>50</v>
      </c>
      <c r="C78" s="9">
        <f>TRUNC(((7/30)/12)*95%,4)</f>
        <v>1.84E-2</v>
      </c>
      <c r="D78" s="13">
        <f>TRUNC($D$26*C78,2)</f>
        <v>67.33</v>
      </c>
    </row>
    <row r="79" spans="1:5" ht="25.5" x14ac:dyDescent="0.2">
      <c r="A79" s="29" t="s">
        <v>12</v>
      </c>
      <c r="B79" s="10" t="s">
        <v>94</v>
      </c>
      <c r="C79" s="9">
        <f>C50</f>
        <v>0.36800000000000005</v>
      </c>
      <c r="D79" s="13">
        <f>TRUNC(D78*C79,2)</f>
        <v>24.77</v>
      </c>
    </row>
    <row r="80" spans="1:5" x14ac:dyDescent="0.2">
      <c r="A80" s="29" t="s">
        <v>32</v>
      </c>
      <c r="B80" s="10" t="s">
        <v>100</v>
      </c>
      <c r="C80" s="9">
        <f>TRUNC(8%*95%*40%,4)</f>
        <v>3.04E-2</v>
      </c>
      <c r="D80" s="13">
        <f t="shared" ref="D80" si="1">TRUNC($D$26*C80,2)</f>
        <v>111.24</v>
      </c>
    </row>
    <row r="81" spans="1:6" x14ac:dyDescent="0.2">
      <c r="A81" s="84" t="s">
        <v>16</v>
      </c>
      <c r="B81" s="85"/>
      <c r="C81" s="86"/>
      <c r="D81" s="19">
        <f>SUM(D75:D80)</f>
        <v>225.39</v>
      </c>
    </row>
    <row r="84" spans="1:6" x14ac:dyDescent="0.2">
      <c r="A84" s="79" t="s">
        <v>51</v>
      </c>
      <c r="B84" s="79"/>
      <c r="C84" s="79"/>
      <c r="D84" s="79"/>
    </row>
    <row r="87" spans="1:6" x14ac:dyDescent="0.2">
      <c r="A87" s="77" t="s">
        <v>78</v>
      </c>
      <c r="B87" s="77"/>
      <c r="C87" s="77"/>
      <c r="D87" s="77"/>
    </row>
    <row r="88" spans="1:6" x14ac:dyDescent="0.2">
      <c r="A88" s="3"/>
    </row>
    <row r="89" spans="1:6" x14ac:dyDescent="0.2">
      <c r="A89" s="30" t="s">
        <v>52</v>
      </c>
      <c r="B89" s="78" t="s">
        <v>79</v>
      </c>
      <c r="C89" s="78"/>
      <c r="D89" s="30" t="s">
        <v>3</v>
      </c>
    </row>
    <row r="90" spans="1:6" x14ac:dyDescent="0.2">
      <c r="A90" s="29" t="s">
        <v>4</v>
      </c>
      <c r="B90" s="31" t="s">
        <v>80</v>
      </c>
      <c r="C90" s="9">
        <f>TRUNC(((1+1/3)/12)/12,4)</f>
        <v>9.1999999999999998E-3</v>
      </c>
      <c r="D90" s="13">
        <f>TRUNC(($D$26+$D$69+$D$81)*C90,2)</f>
        <v>57.16</v>
      </c>
    </row>
    <row r="91" spans="1:6" x14ac:dyDescent="0.2">
      <c r="A91" s="29" t="s">
        <v>6</v>
      </c>
      <c r="B91" s="31" t="s">
        <v>81</v>
      </c>
      <c r="C91" s="9">
        <f>TRUNC(((2/30)/12),4)</f>
        <v>5.4999999999999997E-3</v>
      </c>
      <c r="D91" s="13">
        <f t="shared" ref="D91:D95" si="2">TRUNC(($D$26+$D$69+$D$81)*C91,2)</f>
        <v>34.17</v>
      </c>
    </row>
    <row r="92" spans="1:6" x14ac:dyDescent="0.2">
      <c r="A92" s="29" t="s">
        <v>8</v>
      </c>
      <c r="B92" s="31" t="s">
        <v>82</v>
      </c>
      <c r="C92" s="9">
        <f>TRUNC(((5/30)/12)*2%,4)</f>
        <v>2.0000000000000001E-4</v>
      </c>
      <c r="D92" s="13">
        <f t="shared" si="2"/>
        <v>1.24</v>
      </c>
    </row>
    <row r="93" spans="1:6" x14ac:dyDescent="0.2">
      <c r="A93" s="29" t="s">
        <v>10</v>
      </c>
      <c r="B93" s="31" t="s">
        <v>83</v>
      </c>
      <c r="C93" s="9">
        <f>TRUNC(((15/30)/12)*8%,4)</f>
        <v>3.3E-3</v>
      </c>
      <c r="D93" s="13">
        <f t="shared" si="2"/>
        <v>20.5</v>
      </c>
    </row>
    <row r="94" spans="1:6" x14ac:dyDescent="0.2">
      <c r="A94" s="29" t="s">
        <v>12</v>
      </c>
      <c r="B94" s="31" t="s">
        <v>84</v>
      </c>
      <c r="C94" s="9">
        <f>((1+1/3)/12)*3%*(4/12)</f>
        <v>1.1111111111111109E-3</v>
      </c>
      <c r="D94" s="13">
        <f t="shared" si="2"/>
        <v>6.9</v>
      </c>
    </row>
    <row r="95" spans="1:6" x14ac:dyDescent="0.2">
      <c r="A95" s="29" t="s">
        <v>32</v>
      </c>
      <c r="B95" s="31" t="s">
        <v>85</v>
      </c>
      <c r="C95" s="9"/>
      <c r="D95" s="13">
        <f t="shared" si="2"/>
        <v>0</v>
      </c>
    </row>
    <row r="96" spans="1:6" x14ac:dyDescent="0.2">
      <c r="A96" s="76" t="s">
        <v>37</v>
      </c>
      <c r="B96" s="76"/>
      <c r="C96" s="76"/>
      <c r="D96" s="19">
        <f>SUM(D90:D95)</f>
        <v>119.97</v>
      </c>
      <c r="E96" s="17"/>
      <c r="F96" s="17"/>
    </row>
    <row r="99" spans="1:4" x14ac:dyDescent="0.2">
      <c r="A99" s="77" t="s">
        <v>86</v>
      </c>
      <c r="B99" s="77"/>
      <c r="C99" s="77"/>
      <c r="D99" s="77"/>
    </row>
    <row r="100" spans="1:4" x14ac:dyDescent="0.2">
      <c r="A100" s="3"/>
    </row>
    <row r="101" spans="1:4" x14ac:dyDescent="0.2">
      <c r="A101" s="30" t="s">
        <v>53</v>
      </c>
      <c r="B101" s="78" t="s">
        <v>87</v>
      </c>
      <c r="C101" s="78"/>
      <c r="D101" s="30" t="s">
        <v>3</v>
      </c>
    </row>
    <row r="102" spans="1:4" x14ac:dyDescent="0.2">
      <c r="A102" s="29" t="s">
        <v>4</v>
      </c>
      <c r="B102" s="87" t="s">
        <v>88</v>
      </c>
      <c r="C102" s="88"/>
      <c r="D102" s="13">
        <f>((D26+D69+D81)/220)*22*0</f>
        <v>0</v>
      </c>
    </row>
    <row r="103" spans="1:4" x14ac:dyDescent="0.2">
      <c r="A103" s="76" t="s">
        <v>16</v>
      </c>
      <c r="B103" s="76"/>
      <c r="C103" s="76"/>
      <c r="D103" s="19">
        <f>SUM(D102)</f>
        <v>0</v>
      </c>
    </row>
    <row r="106" spans="1:4" x14ac:dyDescent="0.2">
      <c r="A106" s="77" t="s">
        <v>54</v>
      </c>
      <c r="B106" s="77"/>
      <c r="C106" s="77"/>
      <c r="D106" s="77"/>
    </row>
    <row r="107" spans="1:4" x14ac:dyDescent="0.2">
      <c r="A107" s="3"/>
    </row>
    <row r="108" spans="1:4" x14ac:dyDescent="0.2">
      <c r="A108" s="30">
        <v>4</v>
      </c>
      <c r="B108" s="76" t="s">
        <v>55</v>
      </c>
      <c r="C108" s="76"/>
      <c r="D108" s="30" t="s">
        <v>3</v>
      </c>
    </row>
    <row r="109" spans="1:4" x14ac:dyDescent="0.2">
      <c r="A109" s="29" t="s">
        <v>52</v>
      </c>
      <c r="B109" s="75" t="s">
        <v>79</v>
      </c>
      <c r="C109" s="75"/>
      <c r="D109" s="14">
        <f>D96</f>
        <v>119.97</v>
      </c>
    </row>
    <row r="110" spans="1:4" x14ac:dyDescent="0.2">
      <c r="A110" s="29" t="s">
        <v>53</v>
      </c>
      <c r="B110" s="75" t="s">
        <v>87</v>
      </c>
      <c r="C110" s="75"/>
      <c r="D110" s="14">
        <f>D103</f>
        <v>0</v>
      </c>
    </row>
    <row r="111" spans="1:4" x14ac:dyDescent="0.2">
      <c r="A111" s="76" t="s">
        <v>16</v>
      </c>
      <c r="B111" s="76"/>
      <c r="C111" s="76"/>
      <c r="D111" s="19">
        <f>SUM(D109:D110)</f>
        <v>119.97</v>
      </c>
    </row>
    <row r="114" spans="1:4" x14ac:dyDescent="0.2">
      <c r="A114" s="79" t="s">
        <v>56</v>
      </c>
      <c r="B114" s="79"/>
      <c r="C114" s="79"/>
      <c r="D114" s="79"/>
    </row>
    <row r="116" spans="1:4" x14ac:dyDescent="0.2">
      <c r="A116" s="30">
        <v>5</v>
      </c>
      <c r="B116" s="89" t="s">
        <v>57</v>
      </c>
      <c r="C116" s="89"/>
      <c r="D116" s="30" t="s">
        <v>3</v>
      </c>
    </row>
    <row r="117" spans="1:4" x14ac:dyDescent="0.2">
      <c r="A117" s="29" t="s">
        <v>4</v>
      </c>
      <c r="B117" s="31" t="s">
        <v>58</v>
      </c>
      <c r="C117" s="31"/>
      <c r="D117" s="13"/>
    </row>
    <row r="118" spans="1:4" x14ac:dyDescent="0.2">
      <c r="A118" s="29" t="s">
        <v>6</v>
      </c>
      <c r="B118" s="31" t="s">
        <v>59</v>
      </c>
      <c r="C118" s="31"/>
      <c r="D118" s="13"/>
    </row>
    <row r="119" spans="1:4" x14ac:dyDescent="0.2">
      <c r="A119" s="29" t="s">
        <v>8</v>
      </c>
      <c r="B119" s="31" t="s">
        <v>60</v>
      </c>
      <c r="C119" s="31"/>
      <c r="D119" s="13"/>
    </row>
    <row r="120" spans="1:4" x14ac:dyDescent="0.2">
      <c r="A120" s="29" t="s">
        <v>10</v>
      </c>
      <c r="B120" s="31" t="s">
        <v>15</v>
      </c>
      <c r="C120" s="31"/>
      <c r="D120" s="13"/>
    </row>
    <row r="121" spans="1:4" x14ac:dyDescent="0.2">
      <c r="A121" s="76" t="s">
        <v>37</v>
      </c>
      <c r="B121" s="76"/>
      <c r="C121" s="76"/>
      <c r="D121" s="20">
        <f>SUM(D117:D120)</f>
        <v>0</v>
      </c>
    </row>
    <row r="124" spans="1:4" x14ac:dyDescent="0.2">
      <c r="A124" s="79" t="s">
        <v>61</v>
      </c>
      <c r="B124" s="79"/>
      <c r="C124" s="79"/>
      <c r="D124" s="79"/>
    </row>
    <row r="126" spans="1:4" x14ac:dyDescent="0.2">
      <c r="A126" s="30">
        <v>6</v>
      </c>
      <c r="B126" s="32" t="s">
        <v>62</v>
      </c>
      <c r="C126" s="30" t="s">
        <v>26</v>
      </c>
      <c r="D126" s="30" t="s">
        <v>3</v>
      </c>
    </row>
    <row r="127" spans="1:4" x14ac:dyDescent="0.2">
      <c r="A127" s="29" t="s">
        <v>4</v>
      </c>
      <c r="B127" s="31" t="s">
        <v>63</v>
      </c>
      <c r="C127" s="9">
        <v>0.05</v>
      </c>
      <c r="D127" s="14">
        <f>D147*C127</f>
        <v>316.69750000000005</v>
      </c>
    </row>
    <row r="128" spans="1:4" x14ac:dyDescent="0.2">
      <c r="A128" s="29" t="s">
        <v>6</v>
      </c>
      <c r="B128" s="31" t="s">
        <v>64</v>
      </c>
      <c r="C128" s="9">
        <v>0.06</v>
      </c>
      <c r="D128" s="13">
        <f>(D147+D127)*C128</f>
        <v>399.03885000000002</v>
      </c>
    </row>
    <row r="129" spans="1:4" x14ac:dyDescent="0.2">
      <c r="A129" s="29" t="s">
        <v>8</v>
      </c>
      <c r="B129" s="31" t="s">
        <v>65</v>
      </c>
      <c r="C129" s="12">
        <f>SUM(C130:C135)</f>
        <v>8.6499999999999994E-2</v>
      </c>
      <c r="D129" s="13">
        <f>(D147+D127+D128)*C129/(1-C129)</f>
        <v>667.54008678160926</v>
      </c>
    </row>
    <row r="130" spans="1:4" x14ac:dyDescent="0.2">
      <c r="A130" s="29"/>
      <c r="B130" s="31" t="s">
        <v>66</v>
      </c>
      <c r="C130" s="9"/>
      <c r="D130" s="14">
        <f>$D$149*C130</f>
        <v>0</v>
      </c>
    </row>
    <row r="131" spans="1:4" x14ac:dyDescent="0.2">
      <c r="A131" s="29"/>
      <c r="B131" s="31" t="s">
        <v>96</v>
      </c>
      <c r="C131" s="9">
        <v>6.4999999999999997E-3</v>
      </c>
      <c r="D131" s="14">
        <f t="shared" ref="D131:D135" si="3">$D$149*C131</f>
        <v>50.161994999999997</v>
      </c>
    </row>
    <row r="132" spans="1:4" x14ac:dyDescent="0.2">
      <c r="A132" s="29"/>
      <c r="B132" s="31" t="s">
        <v>97</v>
      </c>
      <c r="C132" s="9">
        <v>0.03</v>
      </c>
      <c r="D132" s="14">
        <f t="shared" si="3"/>
        <v>231.51689999999996</v>
      </c>
    </row>
    <row r="133" spans="1:4" x14ac:dyDescent="0.2">
      <c r="A133" s="29"/>
      <c r="B133" s="31" t="s">
        <v>67</v>
      </c>
      <c r="C133" s="29"/>
      <c r="D133" s="14">
        <f t="shared" si="3"/>
        <v>0</v>
      </c>
    </row>
    <row r="134" spans="1:4" x14ac:dyDescent="0.2">
      <c r="A134" s="29"/>
      <c r="B134" s="31" t="s">
        <v>68</v>
      </c>
      <c r="C134" s="9"/>
      <c r="D134" s="14">
        <f t="shared" si="3"/>
        <v>0</v>
      </c>
    </row>
    <row r="135" spans="1:4" x14ac:dyDescent="0.2">
      <c r="A135" s="29"/>
      <c r="B135" s="31" t="s">
        <v>98</v>
      </c>
      <c r="C135" s="9">
        <v>0.05</v>
      </c>
      <c r="D135" s="14">
        <f t="shared" si="3"/>
        <v>385.86149999999998</v>
      </c>
    </row>
    <row r="136" spans="1:4" ht="13.5" x14ac:dyDescent="0.2">
      <c r="A136" s="84" t="s">
        <v>37</v>
      </c>
      <c r="B136" s="85"/>
      <c r="C136" s="21">
        <f>TRUNC((1+C128)*(1+C127)/(1-C129)-1,5)</f>
        <v>0.21839</v>
      </c>
      <c r="D136" s="19">
        <f>SUM(D127:D129)</f>
        <v>1383.2764367816094</v>
      </c>
    </row>
    <row r="139" spans="1:4" x14ac:dyDescent="0.2">
      <c r="A139" s="79" t="s">
        <v>69</v>
      </c>
      <c r="B139" s="79"/>
      <c r="C139" s="79"/>
      <c r="D139" s="79"/>
    </row>
    <row r="141" spans="1:4" x14ac:dyDescent="0.2">
      <c r="A141" s="30"/>
      <c r="B141" s="76" t="s">
        <v>70</v>
      </c>
      <c r="C141" s="76"/>
      <c r="D141" s="30" t="s">
        <v>3</v>
      </c>
    </row>
    <row r="142" spans="1:4" x14ac:dyDescent="0.2">
      <c r="A142" s="30" t="s">
        <v>4</v>
      </c>
      <c r="B142" s="75" t="s">
        <v>1</v>
      </c>
      <c r="C142" s="75"/>
      <c r="D142" s="22">
        <f>D26</f>
        <v>3659.5</v>
      </c>
    </row>
    <row r="143" spans="1:4" x14ac:dyDescent="0.2">
      <c r="A143" s="30" t="s">
        <v>6</v>
      </c>
      <c r="B143" s="75" t="s">
        <v>17</v>
      </c>
      <c r="C143" s="75"/>
      <c r="D143" s="22">
        <f>D69</f>
        <v>2329.09</v>
      </c>
    </row>
    <row r="144" spans="1:4" x14ac:dyDescent="0.2">
      <c r="A144" s="30" t="s">
        <v>8</v>
      </c>
      <c r="B144" s="75" t="s">
        <v>46</v>
      </c>
      <c r="C144" s="75"/>
      <c r="D144" s="22">
        <f>D81</f>
        <v>225.39</v>
      </c>
    </row>
    <row r="145" spans="1:4" x14ac:dyDescent="0.2">
      <c r="A145" s="30" t="s">
        <v>10</v>
      </c>
      <c r="B145" s="75" t="s">
        <v>51</v>
      </c>
      <c r="C145" s="75"/>
      <c r="D145" s="22">
        <f>D111</f>
        <v>119.97</v>
      </c>
    </row>
    <row r="146" spans="1:4" x14ac:dyDescent="0.2">
      <c r="A146" s="30" t="s">
        <v>12</v>
      </c>
      <c r="B146" s="75" t="s">
        <v>56</v>
      </c>
      <c r="C146" s="75"/>
      <c r="D146" s="22">
        <f>D121</f>
        <v>0</v>
      </c>
    </row>
    <row r="147" spans="1:4" x14ac:dyDescent="0.2">
      <c r="A147" s="76" t="s">
        <v>95</v>
      </c>
      <c r="B147" s="76"/>
      <c r="C147" s="76"/>
      <c r="D147" s="23">
        <f>SUM(D142:D146)</f>
        <v>6333.9500000000007</v>
      </c>
    </row>
    <row r="148" spans="1:4" x14ac:dyDescent="0.2">
      <c r="A148" s="30" t="s">
        <v>32</v>
      </c>
      <c r="B148" s="75" t="s">
        <v>71</v>
      </c>
      <c r="C148" s="75"/>
      <c r="D148" s="24">
        <f>D136</f>
        <v>1383.2764367816094</v>
      </c>
    </row>
    <row r="149" spans="1:4" x14ac:dyDescent="0.2">
      <c r="A149" s="76" t="s">
        <v>72</v>
      </c>
      <c r="B149" s="76"/>
      <c r="C149" s="76"/>
      <c r="D149" s="23">
        <f>ROUND(SUM(D147:D148),2)</f>
        <v>7717.23</v>
      </c>
    </row>
  </sheetData>
  <mergeCells count="70">
    <mergeCell ref="B146:C146"/>
    <mergeCell ref="A147:C147"/>
    <mergeCell ref="B148:C148"/>
    <mergeCell ref="A149:C149"/>
    <mergeCell ref="A139:D139"/>
    <mergeCell ref="B141:C141"/>
    <mergeCell ref="B142:C142"/>
    <mergeCell ref="B143:C143"/>
    <mergeCell ref="B144:C144"/>
    <mergeCell ref="B145:C145"/>
    <mergeCell ref="A136:B136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</mergeCells>
  <pageMargins left="0.511811024" right="0.511811024" top="1.09375" bottom="0.78740157499999996" header="0.31496062000000002" footer="0.31496062000000002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topLeftCell="A28" zoomScale="115" zoomScaleNormal="115" workbookViewId="0">
      <selection activeCell="D20" sqref="D2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0" t="s">
        <v>0</v>
      </c>
      <c r="B1" s="80"/>
      <c r="C1" s="80"/>
      <c r="D1" s="80"/>
    </row>
    <row r="2" spans="1:4" ht="15.75" x14ac:dyDescent="0.25">
      <c r="A2" s="26"/>
      <c r="B2" s="26"/>
      <c r="C2" s="26"/>
      <c r="D2" s="26"/>
    </row>
    <row r="3" spans="1:4" x14ac:dyDescent="0.2">
      <c r="A3" s="82" t="s">
        <v>89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ht="38.25" x14ac:dyDescent="0.2">
      <c r="A5" s="83" t="s">
        <v>90</v>
      </c>
      <c r="B5" s="83"/>
      <c r="C5" s="29" t="s">
        <v>91</v>
      </c>
      <c r="D5" s="27" t="s">
        <v>92</v>
      </c>
    </row>
    <row r="6" spans="1:4" x14ac:dyDescent="0.2">
      <c r="A6" s="90" t="s">
        <v>106</v>
      </c>
      <c r="B6" s="90"/>
      <c r="C6" s="37" t="s">
        <v>102</v>
      </c>
      <c r="D6" s="37">
        <v>2</v>
      </c>
    </row>
    <row r="8" spans="1:4" x14ac:dyDescent="0.2">
      <c r="A8" s="82" t="s">
        <v>73</v>
      </c>
      <c r="B8" s="82"/>
      <c r="C8" s="82"/>
      <c r="D8" s="82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1" t="s">
        <v>106</v>
      </c>
      <c r="D10" s="92"/>
    </row>
    <row r="11" spans="1:4" x14ac:dyDescent="0.2">
      <c r="A11" s="5">
        <v>2</v>
      </c>
      <c r="B11" s="5" t="s">
        <v>93</v>
      </c>
      <c r="C11" s="91" t="s">
        <v>107</v>
      </c>
      <c r="D11" s="92"/>
    </row>
    <row r="12" spans="1:4" x14ac:dyDescent="0.2">
      <c r="A12" s="5">
        <v>3</v>
      </c>
      <c r="B12" s="5" t="s">
        <v>75</v>
      </c>
      <c r="C12" s="91"/>
      <c r="D12" s="92"/>
    </row>
    <row r="13" spans="1:4" x14ac:dyDescent="0.2">
      <c r="A13" s="5">
        <v>4</v>
      </c>
      <c r="B13" s="5" t="s">
        <v>76</v>
      </c>
      <c r="C13" s="91"/>
      <c r="D13" s="92"/>
    </row>
    <row r="14" spans="1:4" x14ac:dyDescent="0.2">
      <c r="A14" s="5">
        <v>5</v>
      </c>
      <c r="B14" s="5" t="s">
        <v>77</v>
      </c>
      <c r="C14" s="91"/>
      <c r="D14" s="92"/>
    </row>
    <row r="16" spans="1:4" x14ac:dyDescent="0.2">
      <c r="A16" s="82" t="s">
        <v>1</v>
      </c>
      <c r="B16" s="82"/>
      <c r="C16" s="82"/>
      <c r="D16" s="82"/>
    </row>
    <row r="18" spans="1:4" x14ac:dyDescent="0.2">
      <c r="A18" s="30">
        <v>1</v>
      </c>
      <c r="B18" s="76" t="s">
        <v>2</v>
      </c>
      <c r="C18" s="76"/>
      <c r="D18" s="30" t="s">
        <v>3</v>
      </c>
    </row>
    <row r="19" spans="1:4" x14ac:dyDescent="0.2">
      <c r="A19" s="29" t="s">
        <v>4</v>
      </c>
      <c r="B19" s="75" t="s">
        <v>5</v>
      </c>
      <c r="C19" s="75"/>
      <c r="D19" s="13">
        <v>4179.3900000000003</v>
      </c>
    </row>
    <row r="20" spans="1:4" x14ac:dyDescent="0.2">
      <c r="A20" s="29" t="s">
        <v>6</v>
      </c>
      <c r="B20" s="75" t="s">
        <v>7</v>
      </c>
      <c r="C20" s="75"/>
      <c r="D20" s="13"/>
    </row>
    <row r="21" spans="1:4" x14ac:dyDescent="0.2">
      <c r="A21" s="29" t="s">
        <v>8</v>
      </c>
      <c r="B21" s="75" t="s">
        <v>9</v>
      </c>
      <c r="C21" s="75"/>
      <c r="D21" s="13"/>
    </row>
    <row r="22" spans="1:4" x14ac:dyDescent="0.2">
      <c r="A22" s="29" t="s">
        <v>10</v>
      </c>
      <c r="B22" s="75" t="s">
        <v>11</v>
      </c>
      <c r="C22" s="75"/>
      <c r="D22" s="13"/>
    </row>
    <row r="23" spans="1:4" x14ac:dyDescent="0.2">
      <c r="A23" s="29" t="s">
        <v>12</v>
      </c>
      <c r="B23" s="75" t="s">
        <v>13</v>
      </c>
      <c r="C23" s="75"/>
      <c r="D23" s="13"/>
    </row>
    <row r="24" spans="1:4" x14ac:dyDescent="0.2">
      <c r="A24" s="29"/>
      <c r="B24" s="75"/>
      <c r="C24" s="75"/>
      <c r="D24" s="13"/>
    </row>
    <row r="25" spans="1:4" x14ac:dyDescent="0.2">
      <c r="A25" s="29" t="s">
        <v>14</v>
      </c>
      <c r="B25" s="75" t="s">
        <v>15</v>
      </c>
      <c r="C25" s="75"/>
      <c r="D25" s="13"/>
    </row>
    <row r="26" spans="1:4" x14ac:dyDescent="0.2">
      <c r="A26" s="76" t="s">
        <v>16</v>
      </c>
      <c r="B26" s="76"/>
      <c r="C26" s="76"/>
      <c r="D26" s="20">
        <f>SUM(D19:D25)</f>
        <v>4179.3900000000003</v>
      </c>
    </row>
    <row r="29" spans="1:4" x14ac:dyDescent="0.2">
      <c r="A29" s="79" t="s">
        <v>17</v>
      </c>
      <c r="B29" s="79"/>
      <c r="C29" s="79"/>
      <c r="D29" s="79"/>
    </row>
    <row r="30" spans="1:4" x14ac:dyDescent="0.2">
      <c r="A30" s="3"/>
    </row>
    <row r="31" spans="1:4" x14ac:dyDescent="0.2">
      <c r="A31" s="77" t="s">
        <v>18</v>
      </c>
      <c r="B31" s="77"/>
      <c r="C31" s="77"/>
      <c r="D31" s="77"/>
    </row>
    <row r="33" spans="1:4" x14ac:dyDescent="0.2">
      <c r="A33" s="30" t="s">
        <v>19</v>
      </c>
      <c r="B33" s="76" t="s">
        <v>20</v>
      </c>
      <c r="C33" s="76"/>
      <c r="D33" s="30" t="s">
        <v>3</v>
      </c>
    </row>
    <row r="34" spans="1:4" x14ac:dyDescent="0.2">
      <c r="A34" s="29" t="s">
        <v>4</v>
      </c>
      <c r="B34" s="31" t="s">
        <v>21</v>
      </c>
      <c r="C34" s="12">
        <f>TRUNC(1/12,4)</f>
        <v>8.3299999999999999E-2</v>
      </c>
      <c r="D34" s="13">
        <f>TRUNC($D$26*C34,2)</f>
        <v>348.14</v>
      </c>
    </row>
    <row r="35" spans="1:4" x14ac:dyDescent="0.2">
      <c r="A35" s="29" t="s">
        <v>6</v>
      </c>
      <c r="B35" s="31" t="s">
        <v>22</v>
      </c>
      <c r="C35" s="12">
        <f>TRUNC(((1+1/3)/12),4)</f>
        <v>0.1111</v>
      </c>
      <c r="D35" s="13">
        <f>TRUNC($D$26*C35,2)</f>
        <v>464.33</v>
      </c>
    </row>
    <row r="36" spans="1:4" x14ac:dyDescent="0.2">
      <c r="A36" s="76" t="s">
        <v>16</v>
      </c>
      <c r="B36" s="76"/>
      <c r="C36" s="28">
        <f>TRUNC(SUM(C34:C35),5)</f>
        <v>0.19439999999999999</v>
      </c>
      <c r="D36" s="19">
        <f>SUM(D34:D35)</f>
        <v>812.47</v>
      </c>
    </row>
    <row r="39" spans="1:4" x14ac:dyDescent="0.2">
      <c r="A39" s="81" t="s">
        <v>23</v>
      </c>
      <c r="B39" s="81"/>
      <c r="C39" s="81"/>
      <c r="D39" s="81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29" t="s">
        <v>4</v>
      </c>
      <c r="B42" s="31" t="s">
        <v>27</v>
      </c>
      <c r="C42" s="9">
        <v>0.2</v>
      </c>
      <c r="D42" s="13">
        <f>TRUNC(($D$26+$D$36)*C42,2)</f>
        <v>998.37</v>
      </c>
    </row>
    <row r="43" spans="1:4" x14ac:dyDescent="0.2">
      <c r="A43" s="29" t="s">
        <v>6</v>
      </c>
      <c r="B43" s="31" t="s">
        <v>28</v>
      </c>
      <c r="C43" s="9">
        <v>2.5000000000000001E-2</v>
      </c>
      <c r="D43" s="13">
        <f t="shared" ref="D43:D49" si="0">TRUNC(($D$26+$D$36)*C43,2)</f>
        <v>124.79</v>
      </c>
    </row>
    <row r="44" spans="1:4" x14ac:dyDescent="0.2">
      <c r="A44" s="29" t="s">
        <v>8</v>
      </c>
      <c r="B44" s="31" t="s">
        <v>29</v>
      </c>
      <c r="C44" s="16">
        <v>0.03</v>
      </c>
      <c r="D44" s="13">
        <f t="shared" si="0"/>
        <v>149.75</v>
      </c>
    </row>
    <row r="45" spans="1:4" x14ac:dyDescent="0.2">
      <c r="A45" s="29" t="s">
        <v>10</v>
      </c>
      <c r="B45" s="31" t="s">
        <v>30</v>
      </c>
      <c r="C45" s="9">
        <v>1.4999999999999999E-2</v>
      </c>
      <c r="D45" s="13">
        <f t="shared" si="0"/>
        <v>74.87</v>
      </c>
    </row>
    <row r="46" spans="1:4" x14ac:dyDescent="0.2">
      <c r="A46" s="29" t="s">
        <v>12</v>
      </c>
      <c r="B46" s="31" t="s">
        <v>31</v>
      </c>
      <c r="C46" s="9">
        <v>0.01</v>
      </c>
      <c r="D46" s="13">
        <f t="shared" si="0"/>
        <v>49.91</v>
      </c>
    </row>
    <row r="47" spans="1:4" x14ac:dyDescent="0.2">
      <c r="A47" s="29" t="s">
        <v>32</v>
      </c>
      <c r="B47" s="31" t="s">
        <v>33</v>
      </c>
      <c r="C47" s="9">
        <v>6.0000000000000001E-3</v>
      </c>
      <c r="D47" s="13">
        <f t="shared" si="0"/>
        <v>29.95</v>
      </c>
    </row>
    <row r="48" spans="1:4" x14ac:dyDescent="0.2">
      <c r="A48" s="29" t="s">
        <v>14</v>
      </c>
      <c r="B48" s="31" t="s">
        <v>34</v>
      </c>
      <c r="C48" s="9">
        <v>2E-3</v>
      </c>
      <c r="D48" s="13">
        <f t="shared" si="0"/>
        <v>9.98</v>
      </c>
    </row>
    <row r="49" spans="1:4" x14ac:dyDescent="0.2">
      <c r="A49" s="29" t="s">
        <v>35</v>
      </c>
      <c r="B49" s="31" t="s">
        <v>36</v>
      </c>
      <c r="C49" s="9">
        <v>0.08</v>
      </c>
      <c r="D49" s="13">
        <f t="shared" si="0"/>
        <v>399.34</v>
      </c>
    </row>
    <row r="50" spans="1:4" x14ac:dyDescent="0.2">
      <c r="A50" s="76" t="s">
        <v>37</v>
      </c>
      <c r="B50" s="76"/>
      <c r="C50" s="15">
        <f>SUM(C42:C49)</f>
        <v>0.36800000000000005</v>
      </c>
      <c r="D50" s="19">
        <f>SUM(D42:D49)</f>
        <v>1836.9600000000003</v>
      </c>
    </row>
    <row r="53" spans="1:4" x14ac:dyDescent="0.2">
      <c r="A53" s="77" t="s">
        <v>38</v>
      </c>
      <c r="B53" s="77"/>
      <c r="C53" s="77"/>
      <c r="D53" s="77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29" t="s">
        <v>4</v>
      </c>
      <c r="B56" s="75" t="s">
        <v>41</v>
      </c>
      <c r="C56" s="75"/>
      <c r="D56" s="13">
        <f>IF((22*2*5.2)-(D19*0.06)&gt;0,(22*2*5.2)-(D19*0.06),0)</f>
        <v>0</v>
      </c>
    </row>
    <row r="57" spans="1:4" x14ac:dyDescent="0.2">
      <c r="A57" s="29" t="s">
        <v>6</v>
      </c>
      <c r="B57" s="75" t="s">
        <v>42</v>
      </c>
      <c r="C57" s="75"/>
      <c r="D57" s="13"/>
    </row>
    <row r="58" spans="1:4" x14ac:dyDescent="0.2">
      <c r="A58" s="29" t="s">
        <v>8</v>
      </c>
      <c r="B58" s="75" t="s">
        <v>43</v>
      </c>
      <c r="C58" s="75"/>
      <c r="D58" s="13"/>
    </row>
    <row r="59" spans="1:4" x14ac:dyDescent="0.2">
      <c r="A59" s="29" t="s">
        <v>10</v>
      </c>
      <c r="B59" s="75" t="s">
        <v>15</v>
      </c>
      <c r="C59" s="75"/>
      <c r="D59" s="13"/>
    </row>
    <row r="60" spans="1:4" x14ac:dyDescent="0.2">
      <c r="A60" s="76" t="s">
        <v>16</v>
      </c>
      <c r="B60" s="76"/>
      <c r="C60" s="76"/>
      <c r="D60" s="19">
        <f>SUM(D56:D59)</f>
        <v>0</v>
      </c>
    </row>
    <row r="63" spans="1:4" x14ac:dyDescent="0.2">
      <c r="A63" s="77" t="s">
        <v>44</v>
      </c>
      <c r="B63" s="77"/>
      <c r="C63" s="77"/>
      <c r="D63" s="77"/>
    </row>
    <row r="65" spans="1:5" x14ac:dyDescent="0.2">
      <c r="A65" s="30">
        <v>2</v>
      </c>
      <c r="B65" s="78" t="s">
        <v>45</v>
      </c>
      <c r="C65" s="78"/>
      <c r="D65" s="30" t="s">
        <v>3</v>
      </c>
    </row>
    <row r="66" spans="1:5" x14ac:dyDescent="0.2">
      <c r="A66" s="29" t="s">
        <v>19</v>
      </c>
      <c r="B66" s="75" t="s">
        <v>20</v>
      </c>
      <c r="C66" s="75"/>
      <c r="D66" s="14">
        <f>D36</f>
        <v>812.47</v>
      </c>
    </row>
    <row r="67" spans="1:5" x14ac:dyDescent="0.2">
      <c r="A67" s="29" t="s">
        <v>24</v>
      </c>
      <c r="B67" s="75" t="s">
        <v>25</v>
      </c>
      <c r="C67" s="75"/>
      <c r="D67" s="14">
        <f>D50</f>
        <v>1836.9600000000003</v>
      </c>
    </row>
    <row r="68" spans="1:5" x14ac:dyDescent="0.2">
      <c r="A68" s="29" t="s">
        <v>39</v>
      </c>
      <c r="B68" s="75" t="s">
        <v>40</v>
      </c>
      <c r="C68" s="75"/>
      <c r="D68" s="14">
        <f>D60</f>
        <v>0</v>
      </c>
    </row>
    <row r="69" spans="1:5" x14ac:dyDescent="0.2">
      <c r="A69" s="76" t="s">
        <v>16</v>
      </c>
      <c r="B69" s="76"/>
      <c r="C69" s="76"/>
      <c r="D69" s="19">
        <f>SUM(D66:D68)</f>
        <v>2649.4300000000003</v>
      </c>
    </row>
    <row r="70" spans="1:5" x14ac:dyDescent="0.2">
      <c r="A70" s="4"/>
      <c r="E70" s="18"/>
    </row>
    <row r="72" spans="1:5" x14ac:dyDescent="0.2">
      <c r="A72" s="79" t="s">
        <v>46</v>
      </c>
      <c r="B72" s="79"/>
      <c r="C72" s="79"/>
      <c r="D72" s="79"/>
      <c r="E72" s="17"/>
    </row>
    <row r="73" spans="1:5" ht="12.75" customHeight="1" x14ac:dyDescent="0.2">
      <c r="E73" s="18"/>
    </row>
    <row r="74" spans="1:5" x14ac:dyDescent="0.2">
      <c r="A74" s="30">
        <v>3</v>
      </c>
      <c r="B74" s="78" t="s">
        <v>47</v>
      </c>
      <c r="C74" s="78"/>
      <c r="D74" s="30" t="s">
        <v>3</v>
      </c>
    </row>
    <row r="75" spans="1:5" x14ac:dyDescent="0.2">
      <c r="A75" s="29" t="s">
        <v>4</v>
      </c>
      <c r="B75" s="10" t="s">
        <v>48</v>
      </c>
      <c r="C75" s="9">
        <f>TRUNC(((1/12)*5%),4)</f>
        <v>4.1000000000000003E-3</v>
      </c>
      <c r="D75" s="13">
        <f>TRUNC($D$26*C75,2)</f>
        <v>17.13</v>
      </c>
    </row>
    <row r="76" spans="1:5" x14ac:dyDescent="0.2">
      <c r="A76" s="29" t="s">
        <v>6</v>
      </c>
      <c r="B76" s="10" t="s">
        <v>49</v>
      </c>
      <c r="C76" s="9">
        <v>0.08</v>
      </c>
      <c r="D76" s="13">
        <f>TRUNC(D75*C76,2)</f>
        <v>1.37</v>
      </c>
    </row>
    <row r="77" spans="1:5" x14ac:dyDescent="0.2">
      <c r="A77" s="29" t="s">
        <v>8</v>
      </c>
      <c r="B77" s="10" t="s">
        <v>99</v>
      </c>
      <c r="C77" s="9">
        <f>TRUNC(8%*5%*40%,4)</f>
        <v>1.6000000000000001E-3</v>
      </c>
      <c r="D77" s="13">
        <f>TRUNC($D$26*C77,2)</f>
        <v>6.68</v>
      </c>
    </row>
    <row r="78" spans="1:5" x14ac:dyDescent="0.2">
      <c r="A78" s="29" t="s">
        <v>10</v>
      </c>
      <c r="B78" s="10" t="s">
        <v>50</v>
      </c>
      <c r="C78" s="9">
        <f>TRUNC(((7/30)/12)*95%,4)</f>
        <v>1.84E-2</v>
      </c>
      <c r="D78" s="13">
        <f>TRUNC($D$26*C78,2)</f>
        <v>76.900000000000006</v>
      </c>
    </row>
    <row r="79" spans="1:5" ht="25.5" x14ac:dyDescent="0.2">
      <c r="A79" s="29" t="s">
        <v>12</v>
      </c>
      <c r="B79" s="10" t="s">
        <v>94</v>
      </c>
      <c r="C79" s="9">
        <f>C50</f>
        <v>0.36800000000000005</v>
      </c>
      <c r="D79" s="13">
        <f>TRUNC(D78*C79,2)</f>
        <v>28.29</v>
      </c>
    </row>
    <row r="80" spans="1:5" x14ac:dyDescent="0.2">
      <c r="A80" s="29" t="s">
        <v>32</v>
      </c>
      <c r="B80" s="10" t="s">
        <v>100</v>
      </c>
      <c r="C80" s="9">
        <f>TRUNC(8%*95%*40%,4)</f>
        <v>3.04E-2</v>
      </c>
      <c r="D80" s="13">
        <f t="shared" ref="D80" si="1">TRUNC($D$26*C80,2)</f>
        <v>127.05</v>
      </c>
    </row>
    <row r="81" spans="1:6" x14ac:dyDescent="0.2">
      <c r="A81" s="84" t="s">
        <v>16</v>
      </c>
      <c r="B81" s="85"/>
      <c r="C81" s="86"/>
      <c r="D81" s="19">
        <f>SUM(D75:D80)</f>
        <v>257.42</v>
      </c>
    </row>
    <row r="84" spans="1:6" x14ac:dyDescent="0.2">
      <c r="A84" s="79" t="s">
        <v>51</v>
      </c>
      <c r="B84" s="79"/>
      <c r="C84" s="79"/>
      <c r="D84" s="79"/>
    </row>
    <row r="87" spans="1:6" x14ac:dyDescent="0.2">
      <c r="A87" s="77" t="s">
        <v>78</v>
      </c>
      <c r="B87" s="77"/>
      <c r="C87" s="77"/>
      <c r="D87" s="77"/>
    </row>
    <row r="88" spans="1:6" x14ac:dyDescent="0.2">
      <c r="A88" s="3"/>
    </row>
    <row r="89" spans="1:6" x14ac:dyDescent="0.2">
      <c r="A89" s="30" t="s">
        <v>52</v>
      </c>
      <c r="B89" s="78" t="s">
        <v>79</v>
      </c>
      <c r="C89" s="78"/>
      <c r="D89" s="30" t="s">
        <v>3</v>
      </c>
    </row>
    <row r="90" spans="1:6" x14ac:dyDescent="0.2">
      <c r="A90" s="29" t="s">
        <v>4</v>
      </c>
      <c r="B90" s="31" t="s">
        <v>80</v>
      </c>
      <c r="C90" s="9">
        <f>TRUNC(((1+1/3)/12)/12,4)</f>
        <v>9.1999999999999998E-3</v>
      </c>
      <c r="D90" s="13">
        <f>TRUNC(($D$26+$D$69+$D$81)*C90,2)</f>
        <v>65.19</v>
      </c>
    </row>
    <row r="91" spans="1:6" x14ac:dyDescent="0.2">
      <c r="A91" s="29" t="s">
        <v>6</v>
      </c>
      <c r="B91" s="31" t="s">
        <v>81</v>
      </c>
      <c r="C91" s="9">
        <f>TRUNC(((2/30)/12),4)</f>
        <v>5.4999999999999997E-3</v>
      </c>
      <c r="D91" s="13">
        <f t="shared" ref="D91:D95" si="2">TRUNC(($D$26+$D$69+$D$81)*C91,2)</f>
        <v>38.97</v>
      </c>
    </row>
    <row r="92" spans="1:6" x14ac:dyDescent="0.2">
      <c r="A92" s="29" t="s">
        <v>8</v>
      </c>
      <c r="B92" s="31" t="s">
        <v>82</v>
      </c>
      <c r="C92" s="9">
        <f>TRUNC(((5/30)/12)*2%,4)</f>
        <v>2.0000000000000001E-4</v>
      </c>
      <c r="D92" s="13">
        <f t="shared" si="2"/>
        <v>1.41</v>
      </c>
    </row>
    <row r="93" spans="1:6" x14ac:dyDescent="0.2">
      <c r="A93" s="29" t="s">
        <v>10</v>
      </c>
      <c r="B93" s="31" t="s">
        <v>83</v>
      </c>
      <c r="C93" s="9">
        <f>TRUNC(((15/30)/12)*8%,4)</f>
        <v>3.3E-3</v>
      </c>
      <c r="D93" s="13">
        <f t="shared" si="2"/>
        <v>23.38</v>
      </c>
    </row>
    <row r="94" spans="1:6" x14ac:dyDescent="0.2">
      <c r="A94" s="29" t="s">
        <v>12</v>
      </c>
      <c r="B94" s="31" t="s">
        <v>84</v>
      </c>
      <c r="C94" s="9">
        <f>((1+1/3)/12)*3%*(4/12)</f>
        <v>1.1111111111111109E-3</v>
      </c>
      <c r="D94" s="13">
        <f t="shared" si="2"/>
        <v>7.87</v>
      </c>
    </row>
    <row r="95" spans="1:6" x14ac:dyDescent="0.2">
      <c r="A95" s="29" t="s">
        <v>32</v>
      </c>
      <c r="B95" s="31" t="s">
        <v>85</v>
      </c>
      <c r="C95" s="9"/>
      <c r="D95" s="13">
        <f t="shared" si="2"/>
        <v>0</v>
      </c>
    </row>
    <row r="96" spans="1:6" x14ac:dyDescent="0.2">
      <c r="A96" s="76" t="s">
        <v>37</v>
      </c>
      <c r="B96" s="76"/>
      <c r="C96" s="76"/>
      <c r="D96" s="19">
        <f>SUM(D90:D95)</f>
        <v>136.82</v>
      </c>
      <c r="E96" s="17"/>
      <c r="F96" s="17"/>
    </row>
    <row r="99" spans="1:4" x14ac:dyDescent="0.2">
      <c r="A99" s="77" t="s">
        <v>86</v>
      </c>
      <c r="B99" s="77"/>
      <c r="C99" s="77"/>
      <c r="D99" s="77"/>
    </row>
    <row r="100" spans="1:4" x14ac:dyDescent="0.2">
      <c r="A100" s="3"/>
    </row>
    <row r="101" spans="1:4" x14ac:dyDescent="0.2">
      <c r="A101" s="30" t="s">
        <v>53</v>
      </c>
      <c r="B101" s="78" t="s">
        <v>87</v>
      </c>
      <c r="C101" s="78"/>
      <c r="D101" s="30" t="s">
        <v>3</v>
      </c>
    </row>
    <row r="102" spans="1:4" x14ac:dyDescent="0.2">
      <c r="A102" s="29" t="s">
        <v>4</v>
      </c>
      <c r="B102" s="87" t="s">
        <v>88</v>
      </c>
      <c r="C102" s="88"/>
      <c r="D102" s="13">
        <f>((D26+D69+D81)/220)*22*0</f>
        <v>0</v>
      </c>
    </row>
    <row r="103" spans="1:4" x14ac:dyDescent="0.2">
      <c r="A103" s="76" t="s">
        <v>16</v>
      </c>
      <c r="B103" s="76"/>
      <c r="C103" s="76"/>
      <c r="D103" s="19">
        <f>SUM(D102)</f>
        <v>0</v>
      </c>
    </row>
    <row r="106" spans="1:4" x14ac:dyDescent="0.2">
      <c r="A106" s="77" t="s">
        <v>54</v>
      </c>
      <c r="B106" s="77"/>
      <c r="C106" s="77"/>
      <c r="D106" s="77"/>
    </row>
    <row r="107" spans="1:4" x14ac:dyDescent="0.2">
      <c r="A107" s="3"/>
    </row>
    <row r="108" spans="1:4" x14ac:dyDescent="0.2">
      <c r="A108" s="30">
        <v>4</v>
      </c>
      <c r="B108" s="76" t="s">
        <v>55</v>
      </c>
      <c r="C108" s="76"/>
      <c r="D108" s="30" t="s">
        <v>3</v>
      </c>
    </row>
    <row r="109" spans="1:4" x14ac:dyDescent="0.2">
      <c r="A109" s="29" t="s">
        <v>52</v>
      </c>
      <c r="B109" s="75" t="s">
        <v>79</v>
      </c>
      <c r="C109" s="75"/>
      <c r="D109" s="14">
        <f>D96</f>
        <v>136.82</v>
      </c>
    </row>
    <row r="110" spans="1:4" x14ac:dyDescent="0.2">
      <c r="A110" s="29" t="s">
        <v>53</v>
      </c>
      <c r="B110" s="75" t="s">
        <v>87</v>
      </c>
      <c r="C110" s="75"/>
      <c r="D110" s="14">
        <f>D103</f>
        <v>0</v>
      </c>
    </row>
    <row r="111" spans="1:4" x14ac:dyDescent="0.2">
      <c r="A111" s="76" t="s">
        <v>16</v>
      </c>
      <c r="B111" s="76"/>
      <c r="C111" s="76"/>
      <c r="D111" s="19">
        <f>SUM(D109:D110)</f>
        <v>136.82</v>
      </c>
    </row>
    <row r="114" spans="1:4" x14ac:dyDescent="0.2">
      <c r="A114" s="79" t="s">
        <v>56</v>
      </c>
      <c r="B114" s="79"/>
      <c r="C114" s="79"/>
      <c r="D114" s="79"/>
    </row>
    <row r="116" spans="1:4" x14ac:dyDescent="0.2">
      <c r="A116" s="30">
        <v>5</v>
      </c>
      <c r="B116" s="89" t="s">
        <v>57</v>
      </c>
      <c r="C116" s="89"/>
      <c r="D116" s="30" t="s">
        <v>3</v>
      </c>
    </row>
    <row r="117" spans="1:4" x14ac:dyDescent="0.2">
      <c r="A117" s="29" t="s">
        <v>4</v>
      </c>
      <c r="B117" s="31" t="s">
        <v>58</v>
      </c>
      <c r="C117" s="31"/>
      <c r="D117" s="13"/>
    </row>
    <row r="118" spans="1:4" x14ac:dyDescent="0.2">
      <c r="A118" s="29" t="s">
        <v>6</v>
      </c>
      <c r="B118" s="31" t="s">
        <v>59</v>
      </c>
      <c r="C118" s="31"/>
      <c r="D118" s="13"/>
    </row>
    <row r="119" spans="1:4" x14ac:dyDescent="0.2">
      <c r="A119" s="29" t="s">
        <v>8</v>
      </c>
      <c r="B119" s="31" t="s">
        <v>60</v>
      </c>
      <c r="C119" s="31"/>
      <c r="D119" s="13"/>
    </row>
    <row r="120" spans="1:4" x14ac:dyDescent="0.2">
      <c r="A120" s="29" t="s">
        <v>10</v>
      </c>
      <c r="B120" s="31" t="s">
        <v>15</v>
      </c>
      <c r="C120" s="31"/>
      <c r="D120" s="13"/>
    </row>
    <row r="121" spans="1:4" x14ac:dyDescent="0.2">
      <c r="A121" s="76" t="s">
        <v>37</v>
      </c>
      <c r="B121" s="76"/>
      <c r="C121" s="76"/>
      <c r="D121" s="20">
        <f>SUM(D117:D120)</f>
        <v>0</v>
      </c>
    </row>
    <row r="124" spans="1:4" x14ac:dyDescent="0.2">
      <c r="A124" s="79" t="s">
        <v>61</v>
      </c>
      <c r="B124" s="79"/>
      <c r="C124" s="79"/>
      <c r="D124" s="79"/>
    </row>
    <row r="126" spans="1:4" x14ac:dyDescent="0.2">
      <c r="A126" s="30">
        <v>6</v>
      </c>
      <c r="B126" s="32" t="s">
        <v>62</v>
      </c>
      <c r="C126" s="30" t="s">
        <v>26</v>
      </c>
      <c r="D126" s="30" t="s">
        <v>3</v>
      </c>
    </row>
    <row r="127" spans="1:4" x14ac:dyDescent="0.2">
      <c r="A127" s="29" t="s">
        <v>4</v>
      </c>
      <c r="B127" s="31" t="s">
        <v>63</v>
      </c>
      <c r="C127" s="9">
        <v>0.05</v>
      </c>
      <c r="D127" s="14">
        <f>D147*C127</f>
        <v>361.15300000000002</v>
      </c>
    </row>
    <row r="128" spans="1:4" x14ac:dyDescent="0.2">
      <c r="A128" s="29" t="s">
        <v>6</v>
      </c>
      <c r="B128" s="31" t="s">
        <v>64</v>
      </c>
      <c r="C128" s="9">
        <v>0.06</v>
      </c>
      <c r="D128" s="13">
        <f>(D147+D127)*C128</f>
        <v>455.05278000000004</v>
      </c>
    </row>
    <row r="129" spans="1:4" x14ac:dyDescent="0.2">
      <c r="A129" s="29" t="s">
        <v>8</v>
      </c>
      <c r="B129" s="31" t="s">
        <v>65</v>
      </c>
      <c r="C129" s="12">
        <f>SUM(C130:C135)</f>
        <v>8.6499999999999994E-2</v>
      </c>
      <c r="D129" s="13">
        <f>(D147+D127+D128)*C129/(1-C129)</f>
        <v>761.24410505747119</v>
      </c>
    </row>
    <row r="130" spans="1:4" x14ac:dyDescent="0.2">
      <c r="A130" s="29"/>
      <c r="B130" s="31" t="s">
        <v>66</v>
      </c>
      <c r="C130" s="9"/>
      <c r="D130" s="14">
        <f>$D$149*C130</f>
        <v>0</v>
      </c>
    </row>
    <row r="131" spans="1:4" x14ac:dyDescent="0.2">
      <c r="A131" s="29"/>
      <c r="B131" s="31" t="s">
        <v>96</v>
      </c>
      <c r="C131" s="9">
        <v>6.4999999999999997E-3</v>
      </c>
      <c r="D131" s="14">
        <f t="shared" ref="D131:D135" si="3">$D$149*C131</f>
        <v>57.203314999999996</v>
      </c>
    </row>
    <row r="132" spans="1:4" x14ac:dyDescent="0.2">
      <c r="A132" s="29"/>
      <c r="B132" s="31" t="s">
        <v>97</v>
      </c>
      <c r="C132" s="9">
        <v>0.03</v>
      </c>
      <c r="D132" s="14">
        <f t="shared" si="3"/>
        <v>264.01530000000002</v>
      </c>
    </row>
    <row r="133" spans="1:4" x14ac:dyDescent="0.2">
      <c r="A133" s="29"/>
      <c r="B133" s="31" t="s">
        <v>67</v>
      </c>
      <c r="C133" s="29"/>
      <c r="D133" s="14">
        <f t="shared" si="3"/>
        <v>0</v>
      </c>
    </row>
    <row r="134" spans="1:4" x14ac:dyDescent="0.2">
      <c r="A134" s="29"/>
      <c r="B134" s="31" t="s">
        <v>68</v>
      </c>
      <c r="C134" s="9"/>
      <c r="D134" s="14">
        <f t="shared" si="3"/>
        <v>0</v>
      </c>
    </row>
    <row r="135" spans="1:4" x14ac:dyDescent="0.2">
      <c r="A135" s="29"/>
      <c r="B135" s="31" t="s">
        <v>98</v>
      </c>
      <c r="C135" s="9">
        <v>0.05</v>
      </c>
      <c r="D135" s="14">
        <f t="shared" si="3"/>
        <v>440.02550000000002</v>
      </c>
    </row>
    <row r="136" spans="1:4" ht="13.5" x14ac:dyDescent="0.2">
      <c r="A136" s="84" t="s">
        <v>37</v>
      </c>
      <c r="B136" s="85"/>
      <c r="C136" s="21">
        <f>TRUNC((1+C128)*(1+C127)/(1-C129)-1,5)</f>
        <v>0.21839</v>
      </c>
      <c r="D136" s="19">
        <f>SUM(D127:D129)</f>
        <v>1577.4498850574712</v>
      </c>
    </row>
    <row r="139" spans="1:4" x14ac:dyDescent="0.2">
      <c r="A139" s="79" t="s">
        <v>69</v>
      </c>
      <c r="B139" s="79"/>
      <c r="C139" s="79"/>
      <c r="D139" s="79"/>
    </row>
    <row r="141" spans="1:4" x14ac:dyDescent="0.2">
      <c r="A141" s="30"/>
      <c r="B141" s="76" t="s">
        <v>70</v>
      </c>
      <c r="C141" s="76"/>
      <c r="D141" s="30" t="s">
        <v>3</v>
      </c>
    </row>
    <row r="142" spans="1:4" x14ac:dyDescent="0.2">
      <c r="A142" s="30" t="s">
        <v>4</v>
      </c>
      <c r="B142" s="75" t="s">
        <v>1</v>
      </c>
      <c r="C142" s="75"/>
      <c r="D142" s="22">
        <f>D26</f>
        <v>4179.3900000000003</v>
      </c>
    </row>
    <row r="143" spans="1:4" x14ac:dyDescent="0.2">
      <c r="A143" s="30" t="s">
        <v>6</v>
      </c>
      <c r="B143" s="75" t="s">
        <v>17</v>
      </c>
      <c r="C143" s="75"/>
      <c r="D143" s="22">
        <f>D69</f>
        <v>2649.4300000000003</v>
      </c>
    </row>
    <row r="144" spans="1:4" x14ac:dyDescent="0.2">
      <c r="A144" s="30" t="s">
        <v>8</v>
      </c>
      <c r="B144" s="75" t="s">
        <v>46</v>
      </c>
      <c r="C144" s="75"/>
      <c r="D144" s="22">
        <f>D81</f>
        <v>257.42</v>
      </c>
    </row>
    <row r="145" spans="1:4" x14ac:dyDescent="0.2">
      <c r="A145" s="30" t="s">
        <v>10</v>
      </c>
      <c r="B145" s="75" t="s">
        <v>51</v>
      </c>
      <c r="C145" s="75"/>
      <c r="D145" s="22">
        <f>D111</f>
        <v>136.82</v>
      </c>
    </row>
    <row r="146" spans="1:4" x14ac:dyDescent="0.2">
      <c r="A146" s="30" t="s">
        <v>12</v>
      </c>
      <c r="B146" s="75" t="s">
        <v>56</v>
      </c>
      <c r="C146" s="75"/>
      <c r="D146" s="22">
        <f>D121</f>
        <v>0</v>
      </c>
    </row>
    <row r="147" spans="1:4" x14ac:dyDescent="0.2">
      <c r="A147" s="76" t="s">
        <v>95</v>
      </c>
      <c r="B147" s="76"/>
      <c r="C147" s="76"/>
      <c r="D147" s="23">
        <f>SUM(D142:D146)</f>
        <v>7223.06</v>
      </c>
    </row>
    <row r="148" spans="1:4" x14ac:dyDescent="0.2">
      <c r="A148" s="30" t="s">
        <v>32</v>
      </c>
      <c r="B148" s="75" t="s">
        <v>71</v>
      </c>
      <c r="C148" s="75"/>
      <c r="D148" s="24">
        <f>D136</f>
        <v>1577.4498850574712</v>
      </c>
    </row>
    <row r="149" spans="1:4" x14ac:dyDescent="0.2">
      <c r="A149" s="76" t="s">
        <v>72</v>
      </c>
      <c r="B149" s="76"/>
      <c r="C149" s="76"/>
      <c r="D149" s="23">
        <f>ROUND(SUM(D147:D148),2)</f>
        <v>8800.51</v>
      </c>
    </row>
  </sheetData>
  <mergeCells count="70">
    <mergeCell ref="B146:C146"/>
    <mergeCell ref="A147:C147"/>
    <mergeCell ref="B148:C148"/>
    <mergeCell ref="A149:C149"/>
    <mergeCell ref="A139:D139"/>
    <mergeCell ref="B141:C141"/>
    <mergeCell ref="B142:C142"/>
    <mergeCell ref="B143:C143"/>
    <mergeCell ref="B144:C144"/>
    <mergeCell ref="B145:C145"/>
    <mergeCell ref="A136:B136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</mergeCells>
  <pageMargins left="0.511811024" right="0.511811024" top="1.09375" bottom="0.78740157499999996" header="0.31496062000000002" footer="0.31496062000000002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zoomScale="115" zoomScaleNormal="115" workbookViewId="0">
      <selection activeCell="A49" sqref="A4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0" t="s">
        <v>0</v>
      </c>
      <c r="B1" s="80"/>
      <c r="C1" s="80"/>
      <c r="D1" s="80"/>
    </row>
    <row r="2" spans="1:4" ht="15.75" x14ac:dyDescent="0.25">
      <c r="A2" s="26"/>
      <c r="B2" s="26"/>
      <c r="C2" s="26"/>
      <c r="D2" s="26"/>
    </row>
    <row r="3" spans="1:4" x14ac:dyDescent="0.2">
      <c r="A3" s="82" t="s">
        <v>89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ht="38.25" x14ac:dyDescent="0.2">
      <c r="A5" s="83" t="s">
        <v>90</v>
      </c>
      <c r="B5" s="83"/>
      <c r="C5" s="29" t="s">
        <v>91</v>
      </c>
      <c r="D5" s="27" t="s">
        <v>92</v>
      </c>
    </row>
    <row r="6" spans="1:4" ht="13.5" x14ac:dyDescent="0.25">
      <c r="A6" s="90" t="s">
        <v>108</v>
      </c>
      <c r="B6" s="90"/>
      <c r="C6" s="37" t="s">
        <v>102</v>
      </c>
      <c r="D6" s="37">
        <v>1</v>
      </c>
    </row>
    <row r="8" spans="1:4" x14ac:dyDescent="0.2">
      <c r="A8" s="82" t="s">
        <v>73</v>
      </c>
      <c r="B8" s="82"/>
      <c r="C8" s="82"/>
      <c r="D8" s="82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1" t="s">
        <v>109</v>
      </c>
      <c r="D10" s="92"/>
    </row>
    <row r="11" spans="1:4" x14ac:dyDescent="0.2">
      <c r="A11" s="5">
        <v>2</v>
      </c>
      <c r="B11" s="5" t="s">
        <v>93</v>
      </c>
      <c r="C11" s="91" t="s">
        <v>110</v>
      </c>
      <c r="D11" s="92"/>
    </row>
    <row r="12" spans="1:4" x14ac:dyDescent="0.2">
      <c r="A12" s="5">
        <v>3</v>
      </c>
      <c r="B12" s="5" t="s">
        <v>75</v>
      </c>
      <c r="C12" s="91"/>
      <c r="D12" s="92"/>
    </row>
    <row r="13" spans="1:4" x14ac:dyDescent="0.2">
      <c r="A13" s="5">
        <v>4</v>
      </c>
      <c r="B13" s="5" t="s">
        <v>76</v>
      </c>
      <c r="C13" s="91"/>
      <c r="D13" s="92"/>
    </row>
    <row r="14" spans="1:4" x14ac:dyDescent="0.2">
      <c r="A14" s="5">
        <v>5</v>
      </c>
      <c r="B14" s="5" t="s">
        <v>77</v>
      </c>
      <c r="C14" s="91"/>
      <c r="D14" s="92"/>
    </row>
    <row r="16" spans="1:4" x14ac:dyDescent="0.2">
      <c r="A16" s="82" t="s">
        <v>1</v>
      </c>
      <c r="B16" s="82"/>
      <c r="C16" s="82"/>
      <c r="D16" s="82"/>
    </row>
    <row r="18" spans="1:4" x14ac:dyDescent="0.2">
      <c r="A18" s="30">
        <v>1</v>
      </c>
      <c r="B18" s="76" t="s">
        <v>2</v>
      </c>
      <c r="C18" s="76"/>
      <c r="D18" s="30" t="s">
        <v>3</v>
      </c>
    </row>
    <row r="19" spans="1:4" x14ac:dyDescent="0.2">
      <c r="A19" s="29" t="s">
        <v>4</v>
      </c>
      <c r="B19" s="75" t="s">
        <v>5</v>
      </c>
      <c r="C19" s="75"/>
      <c r="D19" s="13">
        <v>2784.52</v>
      </c>
    </row>
    <row r="20" spans="1:4" x14ac:dyDescent="0.2">
      <c r="A20" s="29" t="s">
        <v>6</v>
      </c>
      <c r="B20" s="75" t="s">
        <v>7</v>
      </c>
      <c r="C20" s="75"/>
      <c r="D20" s="13"/>
    </row>
    <row r="21" spans="1:4" x14ac:dyDescent="0.2">
      <c r="A21" s="29" t="s">
        <v>8</v>
      </c>
      <c r="B21" s="75" t="s">
        <v>9</v>
      </c>
      <c r="C21" s="75"/>
      <c r="D21" s="13"/>
    </row>
    <row r="22" spans="1:4" x14ac:dyDescent="0.2">
      <c r="A22" s="29" t="s">
        <v>10</v>
      </c>
      <c r="B22" s="75" t="s">
        <v>11</v>
      </c>
      <c r="C22" s="75"/>
      <c r="D22" s="13"/>
    </row>
    <row r="23" spans="1:4" x14ac:dyDescent="0.2">
      <c r="A23" s="29" t="s">
        <v>12</v>
      </c>
      <c r="B23" s="75" t="s">
        <v>13</v>
      </c>
      <c r="C23" s="75"/>
      <c r="D23" s="13"/>
    </row>
    <row r="24" spans="1:4" x14ac:dyDescent="0.2">
      <c r="A24" s="29"/>
      <c r="B24" s="75"/>
      <c r="C24" s="75"/>
      <c r="D24" s="13"/>
    </row>
    <row r="25" spans="1:4" x14ac:dyDescent="0.2">
      <c r="A25" s="29" t="s">
        <v>14</v>
      </c>
      <c r="B25" s="75" t="s">
        <v>15</v>
      </c>
      <c r="C25" s="75"/>
      <c r="D25" s="13"/>
    </row>
    <row r="26" spans="1:4" x14ac:dyDescent="0.2">
      <c r="A26" s="76" t="s">
        <v>16</v>
      </c>
      <c r="B26" s="76"/>
      <c r="C26" s="76"/>
      <c r="D26" s="20">
        <f>SUM(D19:D25)</f>
        <v>2784.52</v>
      </c>
    </row>
    <row r="29" spans="1:4" x14ac:dyDescent="0.2">
      <c r="A29" s="79" t="s">
        <v>17</v>
      </c>
      <c r="B29" s="79"/>
      <c r="C29" s="79"/>
      <c r="D29" s="79"/>
    </row>
    <row r="30" spans="1:4" x14ac:dyDescent="0.2">
      <c r="A30" s="3"/>
    </row>
    <row r="31" spans="1:4" x14ac:dyDescent="0.2">
      <c r="A31" s="77" t="s">
        <v>18</v>
      </c>
      <c r="B31" s="77"/>
      <c r="C31" s="77"/>
      <c r="D31" s="77"/>
    </row>
    <row r="33" spans="1:4" x14ac:dyDescent="0.2">
      <c r="A33" s="30" t="s">
        <v>19</v>
      </c>
      <c r="B33" s="76" t="s">
        <v>20</v>
      </c>
      <c r="C33" s="76"/>
      <c r="D33" s="30" t="s">
        <v>3</v>
      </c>
    </row>
    <row r="34" spans="1:4" x14ac:dyDescent="0.2">
      <c r="A34" s="29" t="s">
        <v>4</v>
      </c>
      <c r="B34" s="31" t="s">
        <v>21</v>
      </c>
      <c r="C34" s="12">
        <f>TRUNC(1/12,4)</f>
        <v>8.3299999999999999E-2</v>
      </c>
      <c r="D34" s="13">
        <f>TRUNC($D$26*C34,2)</f>
        <v>231.95</v>
      </c>
    </row>
    <row r="35" spans="1:4" x14ac:dyDescent="0.2">
      <c r="A35" s="29" t="s">
        <v>6</v>
      </c>
      <c r="B35" s="31" t="s">
        <v>22</v>
      </c>
      <c r="C35" s="12">
        <f>TRUNC(((1+1/3)/12),4)</f>
        <v>0.1111</v>
      </c>
      <c r="D35" s="13">
        <f>TRUNC($D$26*C35,2)</f>
        <v>309.36</v>
      </c>
    </row>
    <row r="36" spans="1:4" x14ac:dyDescent="0.2">
      <c r="A36" s="76" t="s">
        <v>16</v>
      </c>
      <c r="B36" s="76"/>
      <c r="C36" s="28">
        <f>TRUNC(SUM(C34:C35),5)</f>
        <v>0.19439999999999999</v>
      </c>
      <c r="D36" s="19">
        <f>SUM(D34:D35)</f>
        <v>541.30999999999995</v>
      </c>
    </row>
    <row r="39" spans="1:4" x14ac:dyDescent="0.2">
      <c r="A39" s="81" t="s">
        <v>23</v>
      </c>
      <c r="B39" s="81"/>
      <c r="C39" s="81"/>
      <c r="D39" s="81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29" t="s">
        <v>4</v>
      </c>
      <c r="B42" s="31" t="s">
        <v>27</v>
      </c>
      <c r="C42" s="9">
        <v>0.2</v>
      </c>
      <c r="D42" s="13">
        <f>TRUNC(($D$26+$D$36)*C42,2)</f>
        <v>665.16</v>
      </c>
    </row>
    <row r="43" spans="1:4" x14ac:dyDescent="0.2">
      <c r="A43" s="29" t="s">
        <v>6</v>
      </c>
      <c r="B43" s="31" t="s">
        <v>28</v>
      </c>
      <c r="C43" s="9">
        <v>2.5000000000000001E-2</v>
      </c>
      <c r="D43" s="13">
        <f t="shared" ref="D43:D49" si="0">TRUNC(($D$26+$D$36)*C43,2)</f>
        <v>83.14</v>
      </c>
    </row>
    <row r="44" spans="1:4" x14ac:dyDescent="0.2">
      <c r="A44" s="29" t="s">
        <v>8</v>
      </c>
      <c r="B44" s="31" t="s">
        <v>29</v>
      </c>
      <c r="C44" s="16">
        <v>0.03</v>
      </c>
      <c r="D44" s="13">
        <f t="shared" si="0"/>
        <v>99.77</v>
      </c>
    </row>
    <row r="45" spans="1:4" x14ac:dyDescent="0.2">
      <c r="A45" s="29" t="s">
        <v>10</v>
      </c>
      <c r="B45" s="31" t="s">
        <v>30</v>
      </c>
      <c r="C45" s="9">
        <v>1.4999999999999999E-2</v>
      </c>
      <c r="D45" s="13">
        <f t="shared" si="0"/>
        <v>49.88</v>
      </c>
    </row>
    <row r="46" spans="1:4" x14ac:dyDescent="0.2">
      <c r="A46" s="29" t="s">
        <v>12</v>
      </c>
      <c r="B46" s="31" t="s">
        <v>31</v>
      </c>
      <c r="C46" s="9">
        <v>0.01</v>
      </c>
      <c r="D46" s="13">
        <f t="shared" si="0"/>
        <v>33.25</v>
      </c>
    </row>
    <row r="47" spans="1:4" x14ac:dyDescent="0.2">
      <c r="A47" s="29" t="s">
        <v>32</v>
      </c>
      <c r="B47" s="31" t="s">
        <v>33</v>
      </c>
      <c r="C47" s="9">
        <v>6.0000000000000001E-3</v>
      </c>
      <c r="D47" s="13">
        <f t="shared" si="0"/>
        <v>19.95</v>
      </c>
    </row>
    <row r="48" spans="1:4" x14ac:dyDescent="0.2">
      <c r="A48" s="29" t="s">
        <v>14</v>
      </c>
      <c r="B48" s="31" t="s">
        <v>34</v>
      </c>
      <c r="C48" s="9">
        <v>2E-3</v>
      </c>
      <c r="D48" s="13">
        <f t="shared" si="0"/>
        <v>6.65</v>
      </c>
    </row>
    <row r="49" spans="1:4" x14ac:dyDescent="0.2">
      <c r="A49" s="29" t="s">
        <v>35</v>
      </c>
      <c r="B49" s="31" t="s">
        <v>36</v>
      </c>
      <c r="C49" s="9">
        <v>0.08</v>
      </c>
      <c r="D49" s="13">
        <f t="shared" si="0"/>
        <v>266.06</v>
      </c>
    </row>
    <row r="50" spans="1:4" x14ac:dyDescent="0.2">
      <c r="A50" s="76" t="s">
        <v>37</v>
      </c>
      <c r="B50" s="76"/>
      <c r="C50" s="15">
        <f>SUM(C42:C49)</f>
        <v>0.36800000000000005</v>
      </c>
      <c r="D50" s="19">
        <f>SUM(D42:D49)</f>
        <v>1223.8599999999999</v>
      </c>
    </row>
    <row r="53" spans="1:4" x14ac:dyDescent="0.2">
      <c r="A53" s="77" t="s">
        <v>38</v>
      </c>
      <c r="B53" s="77"/>
      <c r="C53" s="77"/>
      <c r="D53" s="77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29" t="s">
        <v>4</v>
      </c>
      <c r="B56" s="75" t="s">
        <v>41</v>
      </c>
      <c r="C56" s="75"/>
      <c r="D56" s="13">
        <f>IF((22*2*5.2)-(D19*0.06)&gt;0,(22*2*5.2)-(D19*0.06),0)</f>
        <v>61.728800000000007</v>
      </c>
    </row>
    <row r="57" spans="1:4" x14ac:dyDescent="0.2">
      <c r="A57" s="29" t="s">
        <v>6</v>
      </c>
      <c r="B57" s="75" t="s">
        <v>42</v>
      </c>
      <c r="C57" s="75"/>
      <c r="D57" s="13"/>
    </row>
    <row r="58" spans="1:4" x14ac:dyDescent="0.2">
      <c r="A58" s="29" t="s">
        <v>8</v>
      </c>
      <c r="B58" s="75" t="s">
        <v>43</v>
      </c>
      <c r="C58" s="75"/>
      <c r="D58" s="13"/>
    </row>
    <row r="59" spans="1:4" x14ac:dyDescent="0.2">
      <c r="A59" s="29" t="s">
        <v>10</v>
      </c>
      <c r="B59" s="75" t="s">
        <v>15</v>
      </c>
      <c r="C59" s="75"/>
      <c r="D59" s="13"/>
    </row>
    <row r="60" spans="1:4" x14ac:dyDescent="0.2">
      <c r="A60" s="76" t="s">
        <v>16</v>
      </c>
      <c r="B60" s="76"/>
      <c r="C60" s="76"/>
      <c r="D60" s="19">
        <f>SUM(D56:D59)</f>
        <v>61.728800000000007</v>
      </c>
    </row>
    <row r="63" spans="1:4" x14ac:dyDescent="0.2">
      <c r="A63" s="77" t="s">
        <v>44</v>
      </c>
      <c r="B63" s="77"/>
      <c r="C63" s="77"/>
      <c r="D63" s="77"/>
    </row>
    <row r="65" spans="1:5" x14ac:dyDescent="0.2">
      <c r="A65" s="30">
        <v>2</v>
      </c>
      <c r="B65" s="78" t="s">
        <v>45</v>
      </c>
      <c r="C65" s="78"/>
      <c r="D65" s="30" t="s">
        <v>3</v>
      </c>
    </row>
    <row r="66" spans="1:5" x14ac:dyDescent="0.2">
      <c r="A66" s="29" t="s">
        <v>19</v>
      </c>
      <c r="B66" s="75" t="s">
        <v>20</v>
      </c>
      <c r="C66" s="75"/>
      <c r="D66" s="14">
        <f>D36</f>
        <v>541.30999999999995</v>
      </c>
    </row>
    <row r="67" spans="1:5" x14ac:dyDescent="0.2">
      <c r="A67" s="29" t="s">
        <v>24</v>
      </c>
      <c r="B67" s="75" t="s">
        <v>25</v>
      </c>
      <c r="C67" s="75"/>
      <c r="D67" s="14">
        <f>D50</f>
        <v>1223.8599999999999</v>
      </c>
    </row>
    <row r="68" spans="1:5" x14ac:dyDescent="0.2">
      <c r="A68" s="29" t="s">
        <v>39</v>
      </c>
      <c r="B68" s="75" t="s">
        <v>40</v>
      </c>
      <c r="C68" s="75"/>
      <c r="D68" s="14">
        <f>D60</f>
        <v>61.728800000000007</v>
      </c>
    </row>
    <row r="69" spans="1:5" x14ac:dyDescent="0.2">
      <c r="A69" s="76" t="s">
        <v>16</v>
      </c>
      <c r="B69" s="76"/>
      <c r="C69" s="76"/>
      <c r="D69" s="19">
        <f>SUM(D66:D68)</f>
        <v>1826.8987999999999</v>
      </c>
    </row>
    <row r="70" spans="1:5" x14ac:dyDescent="0.2">
      <c r="A70" s="4"/>
      <c r="E70" s="18"/>
    </row>
    <row r="72" spans="1:5" x14ac:dyDescent="0.2">
      <c r="A72" s="79" t="s">
        <v>46</v>
      </c>
      <c r="B72" s="79"/>
      <c r="C72" s="79"/>
      <c r="D72" s="79"/>
      <c r="E72" s="17"/>
    </row>
    <row r="73" spans="1:5" ht="12.75" customHeight="1" x14ac:dyDescent="0.2">
      <c r="E73" s="18"/>
    </row>
    <row r="74" spans="1:5" x14ac:dyDescent="0.2">
      <c r="A74" s="30">
        <v>3</v>
      </c>
      <c r="B74" s="78" t="s">
        <v>47</v>
      </c>
      <c r="C74" s="78"/>
      <c r="D74" s="30" t="s">
        <v>3</v>
      </c>
    </row>
    <row r="75" spans="1:5" x14ac:dyDescent="0.2">
      <c r="A75" s="29" t="s">
        <v>4</v>
      </c>
      <c r="B75" s="10" t="s">
        <v>48</v>
      </c>
      <c r="C75" s="9">
        <f>TRUNC(((1/12)*5%),4)</f>
        <v>4.1000000000000003E-3</v>
      </c>
      <c r="D75" s="13">
        <f>TRUNC($D$26*C75,2)</f>
        <v>11.41</v>
      </c>
    </row>
    <row r="76" spans="1:5" x14ac:dyDescent="0.2">
      <c r="A76" s="29" t="s">
        <v>6</v>
      </c>
      <c r="B76" s="10" t="s">
        <v>49</v>
      </c>
      <c r="C76" s="9">
        <v>0.08</v>
      </c>
      <c r="D76" s="13">
        <f>TRUNC(D75*C76,2)</f>
        <v>0.91</v>
      </c>
    </row>
    <row r="77" spans="1:5" x14ac:dyDescent="0.2">
      <c r="A77" s="29" t="s">
        <v>8</v>
      </c>
      <c r="B77" s="10" t="s">
        <v>99</v>
      </c>
      <c r="C77" s="9">
        <f>TRUNC(8%*5%*40%,4)</f>
        <v>1.6000000000000001E-3</v>
      </c>
      <c r="D77" s="13">
        <f>TRUNC($D$26*C77,2)</f>
        <v>4.45</v>
      </c>
    </row>
    <row r="78" spans="1:5" x14ac:dyDescent="0.2">
      <c r="A78" s="29" t="s">
        <v>10</v>
      </c>
      <c r="B78" s="10" t="s">
        <v>50</v>
      </c>
      <c r="C78" s="9">
        <f>TRUNC(((7/30)/12)*95%,4)</f>
        <v>1.84E-2</v>
      </c>
      <c r="D78" s="13">
        <f>TRUNC($D$26*C78,2)</f>
        <v>51.23</v>
      </c>
    </row>
    <row r="79" spans="1:5" ht="25.5" x14ac:dyDescent="0.2">
      <c r="A79" s="29" t="s">
        <v>12</v>
      </c>
      <c r="B79" s="10" t="s">
        <v>94</v>
      </c>
      <c r="C79" s="9">
        <f>C50</f>
        <v>0.36800000000000005</v>
      </c>
      <c r="D79" s="13">
        <f>TRUNC(D78*C79,2)</f>
        <v>18.850000000000001</v>
      </c>
    </row>
    <row r="80" spans="1:5" x14ac:dyDescent="0.2">
      <c r="A80" s="29" t="s">
        <v>32</v>
      </c>
      <c r="B80" s="10" t="s">
        <v>100</v>
      </c>
      <c r="C80" s="9">
        <f>TRUNC(8%*95%*40%,4)</f>
        <v>3.04E-2</v>
      </c>
      <c r="D80" s="13">
        <f t="shared" ref="D80" si="1">TRUNC($D$26*C80,2)</f>
        <v>84.64</v>
      </c>
    </row>
    <row r="81" spans="1:6" x14ac:dyDescent="0.2">
      <c r="A81" s="84" t="s">
        <v>16</v>
      </c>
      <c r="B81" s="85"/>
      <c r="C81" s="86"/>
      <c r="D81" s="19">
        <f>SUM(D75:D80)</f>
        <v>171.49</v>
      </c>
    </row>
    <row r="84" spans="1:6" x14ac:dyDescent="0.2">
      <c r="A84" s="79" t="s">
        <v>51</v>
      </c>
      <c r="B84" s="79"/>
      <c r="C84" s="79"/>
      <c r="D84" s="79"/>
    </row>
    <row r="87" spans="1:6" x14ac:dyDescent="0.2">
      <c r="A87" s="77" t="s">
        <v>78</v>
      </c>
      <c r="B87" s="77"/>
      <c r="C87" s="77"/>
      <c r="D87" s="77"/>
    </row>
    <row r="88" spans="1:6" x14ac:dyDescent="0.2">
      <c r="A88" s="3"/>
    </row>
    <row r="89" spans="1:6" x14ac:dyDescent="0.2">
      <c r="A89" s="30" t="s">
        <v>52</v>
      </c>
      <c r="B89" s="78" t="s">
        <v>79</v>
      </c>
      <c r="C89" s="78"/>
      <c r="D89" s="30" t="s">
        <v>3</v>
      </c>
    </row>
    <row r="90" spans="1:6" x14ac:dyDescent="0.2">
      <c r="A90" s="29" t="s">
        <v>4</v>
      </c>
      <c r="B90" s="31" t="s">
        <v>80</v>
      </c>
      <c r="C90" s="9">
        <f>TRUNC(((1+1/3)/12)/12,4)</f>
        <v>9.1999999999999998E-3</v>
      </c>
      <c r="D90" s="13">
        <f>TRUNC(($D$26+$D$69+$D$81)*C90,2)</f>
        <v>44</v>
      </c>
    </row>
    <row r="91" spans="1:6" x14ac:dyDescent="0.2">
      <c r="A91" s="29" t="s">
        <v>6</v>
      </c>
      <c r="B91" s="31" t="s">
        <v>81</v>
      </c>
      <c r="C91" s="9">
        <f>TRUNC(((2/30)/12),4)</f>
        <v>5.4999999999999997E-3</v>
      </c>
      <c r="D91" s="13">
        <f t="shared" ref="D91:D95" si="2">TRUNC(($D$26+$D$69+$D$81)*C91,2)</f>
        <v>26.3</v>
      </c>
    </row>
    <row r="92" spans="1:6" x14ac:dyDescent="0.2">
      <c r="A92" s="29" t="s">
        <v>8</v>
      </c>
      <c r="B92" s="31" t="s">
        <v>82</v>
      </c>
      <c r="C92" s="9">
        <f>TRUNC(((5/30)/12)*2%,4)</f>
        <v>2.0000000000000001E-4</v>
      </c>
      <c r="D92" s="13">
        <f t="shared" si="2"/>
        <v>0.95</v>
      </c>
    </row>
    <row r="93" spans="1:6" x14ac:dyDescent="0.2">
      <c r="A93" s="29" t="s">
        <v>10</v>
      </c>
      <c r="B93" s="31" t="s">
        <v>83</v>
      </c>
      <c r="C93" s="9">
        <f>TRUNC(((15/30)/12)*8%,4)</f>
        <v>3.3E-3</v>
      </c>
      <c r="D93" s="13">
        <f t="shared" si="2"/>
        <v>15.78</v>
      </c>
    </row>
    <row r="94" spans="1:6" x14ac:dyDescent="0.2">
      <c r="A94" s="29" t="s">
        <v>12</v>
      </c>
      <c r="B94" s="31" t="s">
        <v>84</v>
      </c>
      <c r="C94" s="9">
        <f>((1+1/3)/12)*3%*(4/12)</f>
        <v>1.1111111111111109E-3</v>
      </c>
      <c r="D94" s="13">
        <f t="shared" si="2"/>
        <v>5.31</v>
      </c>
    </row>
    <row r="95" spans="1:6" x14ac:dyDescent="0.2">
      <c r="A95" s="29" t="s">
        <v>32</v>
      </c>
      <c r="B95" s="31" t="s">
        <v>85</v>
      </c>
      <c r="C95" s="9"/>
      <c r="D95" s="13">
        <f t="shared" si="2"/>
        <v>0</v>
      </c>
    </row>
    <row r="96" spans="1:6" x14ac:dyDescent="0.2">
      <c r="A96" s="76" t="s">
        <v>37</v>
      </c>
      <c r="B96" s="76"/>
      <c r="C96" s="76"/>
      <c r="D96" s="19">
        <f>SUM(D90:D95)</f>
        <v>92.34</v>
      </c>
      <c r="E96" s="17"/>
      <c r="F96" s="17"/>
    </row>
    <row r="99" spans="1:4" x14ac:dyDescent="0.2">
      <c r="A99" s="77" t="s">
        <v>86</v>
      </c>
      <c r="B99" s="77"/>
      <c r="C99" s="77"/>
      <c r="D99" s="77"/>
    </row>
    <row r="100" spans="1:4" x14ac:dyDescent="0.2">
      <c r="A100" s="3"/>
    </row>
    <row r="101" spans="1:4" x14ac:dyDescent="0.2">
      <c r="A101" s="30" t="s">
        <v>53</v>
      </c>
      <c r="B101" s="78" t="s">
        <v>87</v>
      </c>
      <c r="C101" s="78"/>
      <c r="D101" s="30" t="s">
        <v>3</v>
      </c>
    </row>
    <row r="102" spans="1:4" x14ac:dyDescent="0.2">
      <c r="A102" s="29" t="s">
        <v>4</v>
      </c>
      <c r="B102" s="87" t="s">
        <v>88</v>
      </c>
      <c r="C102" s="88"/>
      <c r="D102" s="13">
        <f>((D26+D69+D81)/220)*22*0</f>
        <v>0</v>
      </c>
    </row>
    <row r="103" spans="1:4" x14ac:dyDescent="0.2">
      <c r="A103" s="76" t="s">
        <v>16</v>
      </c>
      <c r="B103" s="76"/>
      <c r="C103" s="76"/>
      <c r="D103" s="19">
        <f>SUM(D102)</f>
        <v>0</v>
      </c>
    </row>
    <row r="106" spans="1:4" x14ac:dyDescent="0.2">
      <c r="A106" s="77" t="s">
        <v>54</v>
      </c>
      <c r="B106" s="77"/>
      <c r="C106" s="77"/>
      <c r="D106" s="77"/>
    </row>
    <row r="107" spans="1:4" x14ac:dyDescent="0.2">
      <c r="A107" s="3"/>
    </row>
    <row r="108" spans="1:4" x14ac:dyDescent="0.2">
      <c r="A108" s="30">
        <v>4</v>
      </c>
      <c r="B108" s="76" t="s">
        <v>55</v>
      </c>
      <c r="C108" s="76"/>
      <c r="D108" s="30" t="s">
        <v>3</v>
      </c>
    </row>
    <row r="109" spans="1:4" x14ac:dyDescent="0.2">
      <c r="A109" s="29" t="s">
        <v>52</v>
      </c>
      <c r="B109" s="75" t="s">
        <v>79</v>
      </c>
      <c r="C109" s="75"/>
      <c r="D109" s="14">
        <f>D96</f>
        <v>92.34</v>
      </c>
    </row>
    <row r="110" spans="1:4" x14ac:dyDescent="0.2">
      <c r="A110" s="29" t="s">
        <v>53</v>
      </c>
      <c r="B110" s="75" t="s">
        <v>87</v>
      </c>
      <c r="C110" s="75"/>
      <c r="D110" s="14">
        <f>D103</f>
        <v>0</v>
      </c>
    </row>
    <row r="111" spans="1:4" x14ac:dyDescent="0.2">
      <c r="A111" s="76" t="s">
        <v>16</v>
      </c>
      <c r="B111" s="76"/>
      <c r="C111" s="76"/>
      <c r="D111" s="19">
        <f>SUM(D109:D110)</f>
        <v>92.34</v>
      </c>
    </row>
    <row r="114" spans="1:4" x14ac:dyDescent="0.2">
      <c r="A114" s="79" t="s">
        <v>56</v>
      </c>
      <c r="B114" s="79"/>
      <c r="C114" s="79"/>
      <c r="D114" s="79"/>
    </row>
    <row r="116" spans="1:4" x14ac:dyDescent="0.2">
      <c r="A116" s="30">
        <v>5</v>
      </c>
      <c r="B116" s="89" t="s">
        <v>57</v>
      </c>
      <c r="C116" s="89"/>
      <c r="D116" s="30" t="s">
        <v>3</v>
      </c>
    </row>
    <row r="117" spans="1:4" x14ac:dyDescent="0.2">
      <c r="A117" s="29" t="s">
        <v>4</v>
      </c>
      <c r="B117" s="31" t="s">
        <v>58</v>
      </c>
      <c r="C117" s="31"/>
      <c r="D117" s="13"/>
    </row>
    <row r="118" spans="1:4" x14ac:dyDescent="0.2">
      <c r="A118" s="29" t="s">
        <v>6</v>
      </c>
      <c r="B118" s="31" t="s">
        <v>59</v>
      </c>
      <c r="C118" s="31"/>
      <c r="D118" s="13"/>
    </row>
    <row r="119" spans="1:4" x14ac:dyDescent="0.2">
      <c r="A119" s="29" t="s">
        <v>8</v>
      </c>
      <c r="B119" s="31" t="s">
        <v>60</v>
      </c>
      <c r="C119" s="31"/>
      <c r="D119" s="13"/>
    </row>
    <row r="120" spans="1:4" x14ac:dyDescent="0.2">
      <c r="A120" s="29" t="s">
        <v>10</v>
      </c>
      <c r="B120" s="31" t="s">
        <v>15</v>
      </c>
      <c r="C120" s="31"/>
      <c r="D120" s="13"/>
    </row>
    <row r="121" spans="1:4" x14ac:dyDescent="0.2">
      <c r="A121" s="76" t="s">
        <v>37</v>
      </c>
      <c r="B121" s="76"/>
      <c r="C121" s="76"/>
      <c r="D121" s="20">
        <f>SUM(D117:D120)</f>
        <v>0</v>
      </c>
    </row>
    <row r="124" spans="1:4" x14ac:dyDescent="0.2">
      <c r="A124" s="79" t="s">
        <v>61</v>
      </c>
      <c r="B124" s="79"/>
      <c r="C124" s="79"/>
      <c r="D124" s="79"/>
    </row>
    <row r="126" spans="1:4" x14ac:dyDescent="0.2">
      <c r="A126" s="30">
        <v>6</v>
      </c>
      <c r="B126" s="32" t="s">
        <v>62</v>
      </c>
      <c r="C126" s="30" t="s">
        <v>26</v>
      </c>
      <c r="D126" s="30" t="s">
        <v>3</v>
      </c>
    </row>
    <row r="127" spans="1:4" x14ac:dyDescent="0.2">
      <c r="A127" s="29" t="s">
        <v>4</v>
      </c>
      <c r="B127" s="31" t="s">
        <v>63</v>
      </c>
      <c r="C127" s="9">
        <v>0.05</v>
      </c>
      <c r="D127" s="14">
        <f>D147*C127</f>
        <v>243.76243999999997</v>
      </c>
    </row>
    <row r="128" spans="1:4" x14ac:dyDescent="0.2">
      <c r="A128" s="29" t="s">
        <v>6</v>
      </c>
      <c r="B128" s="31" t="s">
        <v>64</v>
      </c>
      <c r="C128" s="9">
        <v>0.06</v>
      </c>
      <c r="D128" s="13">
        <f>(D147+D127)*C128</f>
        <v>307.14067439999997</v>
      </c>
    </row>
    <row r="129" spans="1:4" x14ac:dyDescent="0.2">
      <c r="A129" s="29" t="s">
        <v>8</v>
      </c>
      <c r="B129" s="31" t="s">
        <v>65</v>
      </c>
      <c r="C129" s="12">
        <f>SUM(C130:C135)</f>
        <v>8.6499999999999994E-2</v>
      </c>
      <c r="D129" s="13">
        <f>(D147+D127+D128)*C129/(1-C129)</f>
        <v>513.80639364597687</v>
      </c>
    </row>
    <row r="130" spans="1:4" x14ac:dyDescent="0.2">
      <c r="A130" s="29"/>
      <c r="B130" s="31" t="s">
        <v>66</v>
      </c>
      <c r="C130" s="9"/>
      <c r="D130" s="14">
        <f>$D$149*C130</f>
        <v>0</v>
      </c>
    </row>
    <row r="131" spans="1:4" x14ac:dyDescent="0.2">
      <c r="A131" s="29"/>
      <c r="B131" s="31" t="s">
        <v>96</v>
      </c>
      <c r="C131" s="9">
        <v>6.4999999999999997E-3</v>
      </c>
      <c r="D131" s="14">
        <f t="shared" ref="D131:D135" si="3">$D$149*C131</f>
        <v>38.609739999999995</v>
      </c>
    </row>
    <row r="132" spans="1:4" x14ac:dyDescent="0.2">
      <c r="A132" s="29"/>
      <c r="B132" s="31" t="s">
        <v>97</v>
      </c>
      <c r="C132" s="9">
        <v>0.03</v>
      </c>
      <c r="D132" s="14">
        <f t="shared" si="3"/>
        <v>178.19880000000001</v>
      </c>
    </row>
    <row r="133" spans="1:4" x14ac:dyDescent="0.2">
      <c r="A133" s="29"/>
      <c r="B133" s="31" t="s">
        <v>67</v>
      </c>
      <c r="C133" s="29"/>
      <c r="D133" s="14">
        <f t="shared" si="3"/>
        <v>0</v>
      </c>
    </row>
    <row r="134" spans="1:4" x14ac:dyDescent="0.2">
      <c r="A134" s="29"/>
      <c r="B134" s="31" t="s">
        <v>68</v>
      </c>
      <c r="C134" s="9"/>
      <c r="D134" s="14">
        <f t="shared" si="3"/>
        <v>0</v>
      </c>
    </row>
    <row r="135" spans="1:4" x14ac:dyDescent="0.2">
      <c r="A135" s="29"/>
      <c r="B135" s="31" t="s">
        <v>98</v>
      </c>
      <c r="C135" s="9">
        <v>0.05</v>
      </c>
      <c r="D135" s="14">
        <f t="shared" si="3"/>
        <v>296.99799999999999</v>
      </c>
    </row>
    <row r="136" spans="1:4" ht="13.5" x14ac:dyDescent="0.2">
      <c r="A136" s="84" t="s">
        <v>37</v>
      </c>
      <c r="B136" s="85"/>
      <c r="C136" s="21">
        <f>TRUNC((1+C128)*(1+C127)/(1-C129)-1,5)</f>
        <v>0.21839</v>
      </c>
      <c r="D136" s="19">
        <f>SUM(D127:D129)</f>
        <v>1064.7095080459767</v>
      </c>
    </row>
    <row r="139" spans="1:4" x14ac:dyDescent="0.2">
      <c r="A139" s="79" t="s">
        <v>69</v>
      </c>
      <c r="B139" s="79"/>
      <c r="C139" s="79"/>
      <c r="D139" s="79"/>
    </row>
    <row r="141" spans="1:4" x14ac:dyDescent="0.2">
      <c r="A141" s="30"/>
      <c r="B141" s="76" t="s">
        <v>70</v>
      </c>
      <c r="C141" s="76"/>
      <c r="D141" s="30" t="s">
        <v>3</v>
      </c>
    </row>
    <row r="142" spans="1:4" x14ac:dyDescent="0.2">
      <c r="A142" s="30" t="s">
        <v>4</v>
      </c>
      <c r="B142" s="75" t="s">
        <v>1</v>
      </c>
      <c r="C142" s="75"/>
      <c r="D142" s="22">
        <f>D26</f>
        <v>2784.52</v>
      </c>
    </row>
    <row r="143" spans="1:4" x14ac:dyDescent="0.2">
      <c r="A143" s="30" t="s">
        <v>6</v>
      </c>
      <c r="B143" s="75" t="s">
        <v>17</v>
      </c>
      <c r="C143" s="75"/>
      <c r="D143" s="22">
        <f>D69</f>
        <v>1826.8987999999999</v>
      </c>
    </row>
    <row r="144" spans="1:4" x14ac:dyDescent="0.2">
      <c r="A144" s="30" t="s">
        <v>8</v>
      </c>
      <c r="B144" s="75" t="s">
        <v>46</v>
      </c>
      <c r="C144" s="75"/>
      <c r="D144" s="22">
        <f>D81</f>
        <v>171.49</v>
      </c>
    </row>
    <row r="145" spans="1:4" x14ac:dyDescent="0.2">
      <c r="A145" s="30" t="s">
        <v>10</v>
      </c>
      <c r="B145" s="75" t="s">
        <v>51</v>
      </c>
      <c r="C145" s="75"/>
      <c r="D145" s="22">
        <f>D111</f>
        <v>92.34</v>
      </c>
    </row>
    <row r="146" spans="1:4" x14ac:dyDescent="0.2">
      <c r="A146" s="30" t="s">
        <v>12</v>
      </c>
      <c r="B146" s="75" t="s">
        <v>56</v>
      </c>
      <c r="C146" s="75"/>
      <c r="D146" s="22">
        <f>D121</f>
        <v>0</v>
      </c>
    </row>
    <row r="147" spans="1:4" x14ac:dyDescent="0.2">
      <c r="A147" s="76" t="s">
        <v>95</v>
      </c>
      <c r="B147" s="76"/>
      <c r="C147" s="76"/>
      <c r="D147" s="23">
        <f>SUM(D142:D146)</f>
        <v>4875.2487999999994</v>
      </c>
    </row>
    <row r="148" spans="1:4" x14ac:dyDescent="0.2">
      <c r="A148" s="30" t="s">
        <v>32</v>
      </c>
      <c r="B148" s="75" t="s">
        <v>71</v>
      </c>
      <c r="C148" s="75"/>
      <c r="D148" s="24">
        <f>D136</f>
        <v>1064.7095080459767</v>
      </c>
    </row>
    <row r="149" spans="1:4" x14ac:dyDescent="0.2">
      <c r="A149" s="76" t="s">
        <v>72</v>
      </c>
      <c r="B149" s="76"/>
      <c r="C149" s="76"/>
      <c r="D149" s="23">
        <f>ROUND(SUM(D147:D148),2)</f>
        <v>5939.96</v>
      </c>
    </row>
  </sheetData>
  <mergeCells count="70">
    <mergeCell ref="B146:C146"/>
    <mergeCell ref="A147:C147"/>
    <mergeCell ref="B148:C148"/>
    <mergeCell ref="A149:C149"/>
    <mergeCell ref="A139:D139"/>
    <mergeCell ref="B141:C141"/>
    <mergeCell ref="B142:C142"/>
    <mergeCell ref="B143:C143"/>
    <mergeCell ref="B144:C144"/>
    <mergeCell ref="B145:C145"/>
    <mergeCell ref="A136:B136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</mergeCells>
  <pageMargins left="0.511811024" right="0.511811024" top="1.09375" bottom="0.78740157499999996" header="0.31496062000000002" footer="0.31496062000000002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zoomScale="115" zoomScaleNormal="115" workbookViewId="0">
      <selection activeCell="A49" sqref="A4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0" t="s">
        <v>0</v>
      </c>
      <c r="B1" s="80"/>
      <c r="C1" s="80"/>
      <c r="D1" s="80"/>
    </row>
    <row r="2" spans="1:4" ht="15.75" x14ac:dyDescent="0.25">
      <c r="A2" s="26"/>
      <c r="B2" s="26"/>
      <c r="C2" s="26"/>
      <c r="D2" s="26"/>
    </row>
    <row r="3" spans="1:4" x14ac:dyDescent="0.2">
      <c r="A3" s="82" t="s">
        <v>89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ht="38.25" x14ac:dyDescent="0.2">
      <c r="A5" s="83" t="s">
        <v>90</v>
      </c>
      <c r="B5" s="83"/>
      <c r="C5" s="29" t="s">
        <v>91</v>
      </c>
      <c r="D5" s="27" t="s">
        <v>92</v>
      </c>
    </row>
    <row r="6" spans="1:4" x14ac:dyDescent="0.2">
      <c r="A6" s="90" t="s">
        <v>111</v>
      </c>
      <c r="B6" s="90"/>
      <c r="C6" s="37" t="s">
        <v>102</v>
      </c>
      <c r="D6" s="37">
        <v>1</v>
      </c>
    </row>
    <row r="8" spans="1:4" x14ac:dyDescent="0.2">
      <c r="A8" s="82" t="s">
        <v>73</v>
      </c>
      <c r="B8" s="82"/>
      <c r="C8" s="82"/>
      <c r="D8" s="82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1" t="s">
        <v>111</v>
      </c>
      <c r="D10" s="92"/>
    </row>
    <row r="11" spans="1:4" x14ac:dyDescent="0.2">
      <c r="A11" s="5">
        <v>2</v>
      </c>
      <c r="B11" s="5" t="s">
        <v>93</v>
      </c>
      <c r="C11" s="91" t="s">
        <v>112</v>
      </c>
      <c r="D11" s="92"/>
    </row>
    <row r="12" spans="1:4" x14ac:dyDescent="0.2">
      <c r="A12" s="5">
        <v>3</v>
      </c>
      <c r="B12" s="5" t="s">
        <v>75</v>
      </c>
      <c r="C12" s="91"/>
      <c r="D12" s="92"/>
    </row>
    <row r="13" spans="1:4" x14ac:dyDescent="0.2">
      <c r="A13" s="5">
        <v>4</v>
      </c>
      <c r="B13" s="5" t="s">
        <v>76</v>
      </c>
      <c r="C13" s="91"/>
      <c r="D13" s="92"/>
    </row>
    <row r="14" spans="1:4" x14ac:dyDescent="0.2">
      <c r="A14" s="5">
        <v>5</v>
      </c>
      <c r="B14" s="5" t="s">
        <v>77</v>
      </c>
      <c r="C14" s="91"/>
      <c r="D14" s="92"/>
    </row>
    <row r="16" spans="1:4" x14ac:dyDescent="0.2">
      <c r="A16" s="82" t="s">
        <v>1</v>
      </c>
      <c r="B16" s="82"/>
      <c r="C16" s="82"/>
      <c r="D16" s="82"/>
    </row>
    <row r="18" spans="1:4" x14ac:dyDescent="0.2">
      <c r="A18" s="30">
        <v>1</v>
      </c>
      <c r="B18" s="76" t="s">
        <v>2</v>
      </c>
      <c r="C18" s="76"/>
      <c r="D18" s="30" t="s">
        <v>3</v>
      </c>
    </row>
    <row r="19" spans="1:4" x14ac:dyDescent="0.2">
      <c r="A19" s="29" t="s">
        <v>4</v>
      </c>
      <c r="B19" s="75" t="s">
        <v>5</v>
      </c>
      <c r="C19" s="75"/>
      <c r="D19" s="13">
        <v>1757.3</v>
      </c>
    </row>
    <row r="20" spans="1:4" x14ac:dyDescent="0.2">
      <c r="A20" s="29" t="s">
        <v>6</v>
      </c>
      <c r="B20" s="75" t="s">
        <v>7</v>
      </c>
      <c r="C20" s="75"/>
      <c r="D20" s="13"/>
    </row>
    <row r="21" spans="1:4" x14ac:dyDescent="0.2">
      <c r="A21" s="29" t="s">
        <v>8</v>
      </c>
      <c r="B21" s="75" t="s">
        <v>9</v>
      </c>
      <c r="C21" s="75"/>
      <c r="D21" s="13"/>
    </row>
    <row r="22" spans="1:4" x14ac:dyDescent="0.2">
      <c r="A22" s="29" t="s">
        <v>10</v>
      </c>
      <c r="B22" s="75" t="s">
        <v>11</v>
      </c>
      <c r="C22" s="75"/>
      <c r="D22" s="13"/>
    </row>
    <row r="23" spans="1:4" x14ac:dyDescent="0.2">
      <c r="A23" s="29" t="s">
        <v>12</v>
      </c>
      <c r="B23" s="75" t="s">
        <v>13</v>
      </c>
      <c r="C23" s="75"/>
      <c r="D23" s="13"/>
    </row>
    <row r="24" spans="1:4" x14ac:dyDescent="0.2">
      <c r="A24" s="29"/>
      <c r="B24" s="75"/>
      <c r="C24" s="75"/>
      <c r="D24" s="13"/>
    </row>
    <row r="25" spans="1:4" x14ac:dyDescent="0.2">
      <c r="A25" s="29" t="s">
        <v>14</v>
      </c>
      <c r="B25" s="75" t="s">
        <v>15</v>
      </c>
      <c r="C25" s="75"/>
      <c r="D25" s="13"/>
    </row>
    <row r="26" spans="1:4" x14ac:dyDescent="0.2">
      <c r="A26" s="76" t="s">
        <v>16</v>
      </c>
      <c r="B26" s="76"/>
      <c r="C26" s="76"/>
      <c r="D26" s="20">
        <f>SUM(D19:D25)</f>
        <v>1757.3</v>
      </c>
    </row>
    <row r="29" spans="1:4" x14ac:dyDescent="0.2">
      <c r="A29" s="79" t="s">
        <v>17</v>
      </c>
      <c r="B29" s="79"/>
      <c r="C29" s="79"/>
      <c r="D29" s="79"/>
    </row>
    <row r="30" spans="1:4" x14ac:dyDescent="0.2">
      <c r="A30" s="3"/>
    </row>
    <row r="31" spans="1:4" x14ac:dyDescent="0.2">
      <c r="A31" s="77" t="s">
        <v>18</v>
      </c>
      <c r="B31" s="77"/>
      <c r="C31" s="77"/>
      <c r="D31" s="77"/>
    </row>
    <row r="33" spans="1:4" x14ac:dyDescent="0.2">
      <c r="A33" s="30" t="s">
        <v>19</v>
      </c>
      <c r="B33" s="76" t="s">
        <v>20</v>
      </c>
      <c r="C33" s="76"/>
      <c r="D33" s="30" t="s">
        <v>3</v>
      </c>
    </row>
    <row r="34" spans="1:4" x14ac:dyDescent="0.2">
      <c r="A34" s="29" t="s">
        <v>4</v>
      </c>
      <c r="B34" s="31" t="s">
        <v>21</v>
      </c>
      <c r="C34" s="12">
        <f>TRUNC(1/12,4)</f>
        <v>8.3299999999999999E-2</v>
      </c>
      <c r="D34" s="13">
        <f>TRUNC($D$26*C34,2)</f>
        <v>146.38</v>
      </c>
    </row>
    <row r="35" spans="1:4" x14ac:dyDescent="0.2">
      <c r="A35" s="29" t="s">
        <v>6</v>
      </c>
      <c r="B35" s="31" t="s">
        <v>22</v>
      </c>
      <c r="C35" s="12">
        <f>TRUNC(((1+1/3)/12),4)</f>
        <v>0.1111</v>
      </c>
      <c r="D35" s="13">
        <f>TRUNC($D$26*C35,2)</f>
        <v>195.23</v>
      </c>
    </row>
    <row r="36" spans="1:4" x14ac:dyDescent="0.2">
      <c r="A36" s="76" t="s">
        <v>16</v>
      </c>
      <c r="B36" s="76"/>
      <c r="C36" s="28">
        <f>TRUNC(SUM(C34:C35),5)</f>
        <v>0.19439999999999999</v>
      </c>
      <c r="D36" s="19">
        <f>SUM(D34:D35)</f>
        <v>341.61</v>
      </c>
    </row>
    <row r="39" spans="1:4" x14ac:dyDescent="0.2">
      <c r="A39" s="81" t="s">
        <v>23</v>
      </c>
      <c r="B39" s="81"/>
      <c r="C39" s="81"/>
      <c r="D39" s="81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29" t="s">
        <v>4</v>
      </c>
      <c r="B42" s="31" t="s">
        <v>27</v>
      </c>
      <c r="C42" s="9">
        <v>0.2</v>
      </c>
      <c r="D42" s="13">
        <f>TRUNC(($D$26+$D$36)*C42,2)</f>
        <v>419.78</v>
      </c>
    </row>
    <row r="43" spans="1:4" x14ac:dyDescent="0.2">
      <c r="A43" s="29" t="s">
        <v>6</v>
      </c>
      <c r="B43" s="31" t="s">
        <v>28</v>
      </c>
      <c r="C43" s="9">
        <v>2.5000000000000001E-2</v>
      </c>
      <c r="D43" s="13">
        <f t="shared" ref="D43:D49" si="0">TRUNC(($D$26+$D$36)*C43,2)</f>
        <v>52.47</v>
      </c>
    </row>
    <row r="44" spans="1:4" x14ac:dyDescent="0.2">
      <c r="A44" s="29" t="s">
        <v>8</v>
      </c>
      <c r="B44" s="31" t="s">
        <v>29</v>
      </c>
      <c r="C44" s="16">
        <v>0.03</v>
      </c>
      <c r="D44" s="13">
        <f t="shared" si="0"/>
        <v>62.96</v>
      </c>
    </row>
    <row r="45" spans="1:4" x14ac:dyDescent="0.2">
      <c r="A45" s="29" t="s">
        <v>10</v>
      </c>
      <c r="B45" s="31" t="s">
        <v>30</v>
      </c>
      <c r="C45" s="9">
        <v>1.4999999999999999E-2</v>
      </c>
      <c r="D45" s="13">
        <f t="shared" si="0"/>
        <v>31.48</v>
      </c>
    </row>
    <row r="46" spans="1:4" x14ac:dyDescent="0.2">
      <c r="A46" s="29" t="s">
        <v>12</v>
      </c>
      <c r="B46" s="31" t="s">
        <v>31</v>
      </c>
      <c r="C46" s="9">
        <v>0.01</v>
      </c>
      <c r="D46" s="13">
        <f t="shared" si="0"/>
        <v>20.98</v>
      </c>
    </row>
    <row r="47" spans="1:4" x14ac:dyDescent="0.2">
      <c r="A47" s="29" t="s">
        <v>32</v>
      </c>
      <c r="B47" s="31" t="s">
        <v>33</v>
      </c>
      <c r="C47" s="9">
        <v>6.0000000000000001E-3</v>
      </c>
      <c r="D47" s="13">
        <f t="shared" si="0"/>
        <v>12.59</v>
      </c>
    </row>
    <row r="48" spans="1:4" x14ac:dyDescent="0.2">
      <c r="A48" s="29" t="s">
        <v>14</v>
      </c>
      <c r="B48" s="31" t="s">
        <v>34</v>
      </c>
      <c r="C48" s="9">
        <v>2E-3</v>
      </c>
      <c r="D48" s="13">
        <f t="shared" si="0"/>
        <v>4.1900000000000004</v>
      </c>
    </row>
    <row r="49" spans="1:4" x14ac:dyDescent="0.2">
      <c r="A49" s="29" t="s">
        <v>35</v>
      </c>
      <c r="B49" s="31" t="s">
        <v>36</v>
      </c>
      <c r="C49" s="9">
        <v>0.08</v>
      </c>
      <c r="D49" s="13">
        <f t="shared" si="0"/>
        <v>167.91</v>
      </c>
    </row>
    <row r="50" spans="1:4" x14ac:dyDescent="0.2">
      <c r="A50" s="76" t="s">
        <v>37</v>
      </c>
      <c r="B50" s="76"/>
      <c r="C50" s="15">
        <f>SUM(C42:C49)</f>
        <v>0.36800000000000005</v>
      </c>
      <c r="D50" s="19">
        <f>SUM(D42:D49)</f>
        <v>772.36000000000013</v>
      </c>
    </row>
    <row r="53" spans="1:4" x14ac:dyDescent="0.2">
      <c r="A53" s="77" t="s">
        <v>38</v>
      </c>
      <c r="B53" s="77"/>
      <c r="C53" s="77"/>
      <c r="D53" s="77"/>
    </row>
    <row r="55" spans="1:4" x14ac:dyDescent="0.2">
      <c r="A55" s="30" t="s">
        <v>39</v>
      </c>
      <c r="B55" s="78" t="s">
        <v>40</v>
      </c>
      <c r="C55" s="78"/>
      <c r="D55" s="30" t="s">
        <v>3</v>
      </c>
    </row>
    <row r="56" spans="1:4" x14ac:dyDescent="0.2">
      <c r="A56" s="29" t="s">
        <v>4</v>
      </c>
      <c r="B56" s="75" t="s">
        <v>41</v>
      </c>
      <c r="C56" s="75"/>
      <c r="D56" s="13">
        <f>IF((22*2*5.2)-(D19*0.06)&gt;0,(22*2*5.2)-(D19*0.06),0)</f>
        <v>123.36200000000002</v>
      </c>
    </row>
    <row r="57" spans="1:4" x14ac:dyDescent="0.2">
      <c r="A57" s="29" t="s">
        <v>6</v>
      </c>
      <c r="B57" s="75" t="s">
        <v>42</v>
      </c>
      <c r="C57" s="75"/>
      <c r="D57" s="13"/>
    </row>
    <row r="58" spans="1:4" x14ac:dyDescent="0.2">
      <c r="A58" s="29" t="s">
        <v>8</v>
      </c>
      <c r="B58" s="75" t="s">
        <v>43</v>
      </c>
      <c r="C58" s="75"/>
      <c r="D58" s="13"/>
    </row>
    <row r="59" spans="1:4" x14ac:dyDescent="0.2">
      <c r="A59" s="29" t="s">
        <v>10</v>
      </c>
      <c r="B59" s="75" t="s">
        <v>15</v>
      </c>
      <c r="C59" s="75"/>
      <c r="D59" s="13"/>
    </row>
    <row r="60" spans="1:4" x14ac:dyDescent="0.2">
      <c r="A60" s="76" t="s">
        <v>16</v>
      </c>
      <c r="B60" s="76"/>
      <c r="C60" s="76"/>
      <c r="D60" s="19">
        <f>SUM(D56:D59)</f>
        <v>123.36200000000002</v>
      </c>
    </row>
    <row r="63" spans="1:4" x14ac:dyDescent="0.2">
      <c r="A63" s="77" t="s">
        <v>44</v>
      </c>
      <c r="B63" s="77"/>
      <c r="C63" s="77"/>
      <c r="D63" s="77"/>
    </row>
    <row r="65" spans="1:5" x14ac:dyDescent="0.2">
      <c r="A65" s="30">
        <v>2</v>
      </c>
      <c r="B65" s="78" t="s">
        <v>45</v>
      </c>
      <c r="C65" s="78"/>
      <c r="D65" s="30" t="s">
        <v>3</v>
      </c>
    </row>
    <row r="66" spans="1:5" x14ac:dyDescent="0.2">
      <c r="A66" s="29" t="s">
        <v>19</v>
      </c>
      <c r="B66" s="75" t="s">
        <v>20</v>
      </c>
      <c r="C66" s="75"/>
      <c r="D66" s="14">
        <f>D36</f>
        <v>341.61</v>
      </c>
    </row>
    <row r="67" spans="1:5" x14ac:dyDescent="0.2">
      <c r="A67" s="29" t="s">
        <v>24</v>
      </c>
      <c r="B67" s="75" t="s">
        <v>25</v>
      </c>
      <c r="C67" s="75"/>
      <c r="D67" s="14">
        <f>D50</f>
        <v>772.36000000000013</v>
      </c>
    </row>
    <row r="68" spans="1:5" x14ac:dyDescent="0.2">
      <c r="A68" s="29" t="s">
        <v>39</v>
      </c>
      <c r="B68" s="75" t="s">
        <v>40</v>
      </c>
      <c r="C68" s="75"/>
      <c r="D68" s="14">
        <f>D60</f>
        <v>123.36200000000002</v>
      </c>
    </row>
    <row r="69" spans="1:5" x14ac:dyDescent="0.2">
      <c r="A69" s="76" t="s">
        <v>16</v>
      </c>
      <c r="B69" s="76"/>
      <c r="C69" s="76"/>
      <c r="D69" s="19">
        <f>SUM(D66:D68)</f>
        <v>1237.3320000000003</v>
      </c>
    </row>
    <row r="70" spans="1:5" x14ac:dyDescent="0.2">
      <c r="A70" s="4"/>
      <c r="E70" s="18"/>
    </row>
    <row r="72" spans="1:5" x14ac:dyDescent="0.2">
      <c r="A72" s="79" t="s">
        <v>46</v>
      </c>
      <c r="B72" s="79"/>
      <c r="C72" s="79"/>
      <c r="D72" s="79"/>
      <c r="E72" s="17"/>
    </row>
    <row r="73" spans="1:5" ht="12.75" customHeight="1" x14ac:dyDescent="0.2">
      <c r="E73" s="18"/>
    </row>
    <row r="74" spans="1:5" x14ac:dyDescent="0.2">
      <c r="A74" s="30">
        <v>3</v>
      </c>
      <c r="B74" s="78" t="s">
        <v>47</v>
      </c>
      <c r="C74" s="78"/>
      <c r="D74" s="30" t="s">
        <v>3</v>
      </c>
    </row>
    <row r="75" spans="1:5" x14ac:dyDescent="0.2">
      <c r="A75" s="29" t="s">
        <v>4</v>
      </c>
      <c r="B75" s="10" t="s">
        <v>48</v>
      </c>
      <c r="C75" s="9">
        <f>TRUNC(((1/12)*5%),4)</f>
        <v>4.1000000000000003E-3</v>
      </c>
      <c r="D75" s="13">
        <f>TRUNC($D$26*C75,2)</f>
        <v>7.2</v>
      </c>
    </row>
    <row r="76" spans="1:5" x14ac:dyDescent="0.2">
      <c r="A76" s="29" t="s">
        <v>6</v>
      </c>
      <c r="B76" s="10" t="s">
        <v>49</v>
      </c>
      <c r="C76" s="9">
        <v>0.08</v>
      </c>
      <c r="D76" s="13">
        <f>TRUNC(D75*C76,2)</f>
        <v>0.56999999999999995</v>
      </c>
    </row>
    <row r="77" spans="1:5" x14ac:dyDescent="0.2">
      <c r="A77" s="29" t="s">
        <v>8</v>
      </c>
      <c r="B77" s="10" t="s">
        <v>99</v>
      </c>
      <c r="C77" s="9">
        <f>TRUNC(8%*5%*40%,4)</f>
        <v>1.6000000000000001E-3</v>
      </c>
      <c r="D77" s="13">
        <f>TRUNC($D$26*C77,2)</f>
        <v>2.81</v>
      </c>
    </row>
    <row r="78" spans="1:5" x14ac:dyDescent="0.2">
      <c r="A78" s="29" t="s">
        <v>10</v>
      </c>
      <c r="B78" s="10" t="s">
        <v>50</v>
      </c>
      <c r="C78" s="9">
        <f>TRUNC(((7/30)/12)*95%,4)</f>
        <v>1.84E-2</v>
      </c>
      <c r="D78" s="13">
        <f>TRUNC($D$26*C78,2)</f>
        <v>32.33</v>
      </c>
    </row>
    <row r="79" spans="1:5" ht="25.5" x14ac:dyDescent="0.2">
      <c r="A79" s="29" t="s">
        <v>12</v>
      </c>
      <c r="B79" s="10" t="s">
        <v>94</v>
      </c>
      <c r="C79" s="9">
        <f>C50</f>
        <v>0.36800000000000005</v>
      </c>
      <c r="D79" s="13">
        <f>TRUNC(D78*C79,2)</f>
        <v>11.89</v>
      </c>
    </row>
    <row r="80" spans="1:5" x14ac:dyDescent="0.2">
      <c r="A80" s="29" t="s">
        <v>32</v>
      </c>
      <c r="B80" s="10" t="s">
        <v>100</v>
      </c>
      <c r="C80" s="9">
        <f>TRUNC(8%*95%*40%,4)</f>
        <v>3.04E-2</v>
      </c>
      <c r="D80" s="13">
        <f t="shared" ref="D80" si="1">TRUNC($D$26*C80,2)</f>
        <v>53.42</v>
      </c>
    </row>
    <row r="81" spans="1:6" x14ac:dyDescent="0.2">
      <c r="A81" s="84" t="s">
        <v>16</v>
      </c>
      <c r="B81" s="85"/>
      <c r="C81" s="86"/>
      <c r="D81" s="19">
        <f>SUM(D75:D80)</f>
        <v>108.22</v>
      </c>
    </row>
    <row r="84" spans="1:6" x14ac:dyDescent="0.2">
      <c r="A84" s="79" t="s">
        <v>51</v>
      </c>
      <c r="B84" s="79"/>
      <c r="C84" s="79"/>
      <c r="D84" s="79"/>
    </row>
    <row r="87" spans="1:6" x14ac:dyDescent="0.2">
      <c r="A87" s="77" t="s">
        <v>78</v>
      </c>
      <c r="B87" s="77"/>
      <c r="C87" s="77"/>
      <c r="D87" s="77"/>
    </row>
    <row r="88" spans="1:6" x14ac:dyDescent="0.2">
      <c r="A88" s="3"/>
    </row>
    <row r="89" spans="1:6" x14ac:dyDescent="0.2">
      <c r="A89" s="30" t="s">
        <v>52</v>
      </c>
      <c r="B89" s="78" t="s">
        <v>79</v>
      </c>
      <c r="C89" s="78"/>
      <c r="D89" s="30" t="s">
        <v>3</v>
      </c>
    </row>
    <row r="90" spans="1:6" x14ac:dyDescent="0.2">
      <c r="A90" s="29" t="s">
        <v>4</v>
      </c>
      <c r="B90" s="31" t="s">
        <v>80</v>
      </c>
      <c r="C90" s="9">
        <f>TRUNC(((1+1/3)/12)/12,4)</f>
        <v>9.1999999999999998E-3</v>
      </c>
      <c r="D90" s="13">
        <f>TRUNC(($D$26+$D$69+$D$81)*C90,2)</f>
        <v>28.54</v>
      </c>
    </row>
    <row r="91" spans="1:6" x14ac:dyDescent="0.2">
      <c r="A91" s="29" t="s">
        <v>6</v>
      </c>
      <c r="B91" s="31" t="s">
        <v>81</v>
      </c>
      <c r="C91" s="9">
        <f>TRUNC(((2/30)/12),4)</f>
        <v>5.4999999999999997E-3</v>
      </c>
      <c r="D91" s="13">
        <f t="shared" ref="D91:D95" si="2">TRUNC(($D$26+$D$69+$D$81)*C91,2)</f>
        <v>17.059999999999999</v>
      </c>
    </row>
    <row r="92" spans="1:6" x14ac:dyDescent="0.2">
      <c r="A92" s="29" t="s">
        <v>8</v>
      </c>
      <c r="B92" s="31" t="s">
        <v>82</v>
      </c>
      <c r="C92" s="9">
        <f>TRUNC(((5/30)/12)*2%,4)</f>
        <v>2.0000000000000001E-4</v>
      </c>
      <c r="D92" s="13">
        <f t="shared" si="2"/>
        <v>0.62</v>
      </c>
    </row>
    <row r="93" spans="1:6" x14ac:dyDescent="0.2">
      <c r="A93" s="29" t="s">
        <v>10</v>
      </c>
      <c r="B93" s="31" t="s">
        <v>83</v>
      </c>
      <c r="C93" s="9">
        <f>TRUNC(((15/30)/12)*8%,4)</f>
        <v>3.3E-3</v>
      </c>
      <c r="D93" s="13">
        <f t="shared" si="2"/>
        <v>10.23</v>
      </c>
    </row>
    <row r="94" spans="1:6" x14ac:dyDescent="0.2">
      <c r="A94" s="29" t="s">
        <v>12</v>
      </c>
      <c r="B94" s="31" t="s">
        <v>84</v>
      </c>
      <c r="C94" s="9">
        <f>((1+1/3)/12)*3%*(4/12)</f>
        <v>1.1111111111111109E-3</v>
      </c>
      <c r="D94" s="13">
        <f t="shared" si="2"/>
        <v>3.44</v>
      </c>
    </row>
    <row r="95" spans="1:6" x14ac:dyDescent="0.2">
      <c r="A95" s="29" t="s">
        <v>32</v>
      </c>
      <c r="B95" s="31" t="s">
        <v>85</v>
      </c>
      <c r="C95" s="9"/>
      <c r="D95" s="13">
        <f t="shared" si="2"/>
        <v>0</v>
      </c>
    </row>
    <row r="96" spans="1:6" x14ac:dyDescent="0.2">
      <c r="A96" s="76" t="s">
        <v>37</v>
      </c>
      <c r="B96" s="76"/>
      <c r="C96" s="76"/>
      <c r="D96" s="19">
        <f>SUM(D90:D95)</f>
        <v>59.889999999999986</v>
      </c>
      <c r="E96" s="17"/>
      <c r="F96" s="17"/>
    </row>
    <row r="99" spans="1:4" x14ac:dyDescent="0.2">
      <c r="A99" s="77" t="s">
        <v>86</v>
      </c>
      <c r="B99" s="77"/>
      <c r="C99" s="77"/>
      <c r="D99" s="77"/>
    </row>
    <row r="100" spans="1:4" x14ac:dyDescent="0.2">
      <c r="A100" s="3"/>
    </row>
    <row r="101" spans="1:4" x14ac:dyDescent="0.2">
      <c r="A101" s="30" t="s">
        <v>53</v>
      </c>
      <c r="B101" s="78" t="s">
        <v>87</v>
      </c>
      <c r="C101" s="78"/>
      <c r="D101" s="30" t="s">
        <v>3</v>
      </c>
    </row>
    <row r="102" spans="1:4" x14ac:dyDescent="0.2">
      <c r="A102" s="29" t="s">
        <v>4</v>
      </c>
      <c r="B102" s="87" t="s">
        <v>88</v>
      </c>
      <c r="C102" s="88"/>
      <c r="D102" s="13">
        <f>((D26+D69+D81)/220)*22*0</f>
        <v>0</v>
      </c>
    </row>
    <row r="103" spans="1:4" x14ac:dyDescent="0.2">
      <c r="A103" s="76" t="s">
        <v>16</v>
      </c>
      <c r="B103" s="76"/>
      <c r="C103" s="76"/>
      <c r="D103" s="19">
        <f>SUM(D102)</f>
        <v>0</v>
      </c>
    </row>
    <row r="106" spans="1:4" x14ac:dyDescent="0.2">
      <c r="A106" s="77" t="s">
        <v>54</v>
      </c>
      <c r="B106" s="77"/>
      <c r="C106" s="77"/>
      <c r="D106" s="77"/>
    </row>
    <row r="107" spans="1:4" x14ac:dyDescent="0.2">
      <c r="A107" s="3"/>
    </row>
    <row r="108" spans="1:4" x14ac:dyDescent="0.2">
      <c r="A108" s="30">
        <v>4</v>
      </c>
      <c r="B108" s="76" t="s">
        <v>55</v>
      </c>
      <c r="C108" s="76"/>
      <c r="D108" s="30" t="s">
        <v>3</v>
      </c>
    </row>
    <row r="109" spans="1:4" x14ac:dyDescent="0.2">
      <c r="A109" s="29" t="s">
        <v>52</v>
      </c>
      <c r="B109" s="75" t="s">
        <v>79</v>
      </c>
      <c r="C109" s="75"/>
      <c r="D109" s="14">
        <f>D96</f>
        <v>59.889999999999986</v>
      </c>
    </row>
    <row r="110" spans="1:4" x14ac:dyDescent="0.2">
      <c r="A110" s="29" t="s">
        <v>53</v>
      </c>
      <c r="B110" s="75" t="s">
        <v>87</v>
      </c>
      <c r="C110" s="75"/>
      <c r="D110" s="14">
        <f>D103</f>
        <v>0</v>
      </c>
    </row>
    <row r="111" spans="1:4" x14ac:dyDescent="0.2">
      <c r="A111" s="76" t="s">
        <v>16</v>
      </c>
      <c r="B111" s="76"/>
      <c r="C111" s="76"/>
      <c r="D111" s="19">
        <f>SUM(D109:D110)</f>
        <v>59.889999999999986</v>
      </c>
    </row>
    <row r="114" spans="1:4" x14ac:dyDescent="0.2">
      <c r="A114" s="79" t="s">
        <v>56</v>
      </c>
      <c r="B114" s="79"/>
      <c r="C114" s="79"/>
      <c r="D114" s="79"/>
    </row>
    <row r="116" spans="1:4" x14ac:dyDescent="0.2">
      <c r="A116" s="30">
        <v>5</v>
      </c>
      <c r="B116" s="89" t="s">
        <v>57</v>
      </c>
      <c r="C116" s="89"/>
      <c r="D116" s="30" t="s">
        <v>3</v>
      </c>
    </row>
    <row r="117" spans="1:4" x14ac:dyDescent="0.2">
      <c r="A117" s="29" t="s">
        <v>4</v>
      </c>
      <c r="B117" s="31" t="s">
        <v>58</v>
      </c>
      <c r="C117" s="31"/>
      <c r="D117" s="13"/>
    </row>
    <row r="118" spans="1:4" x14ac:dyDescent="0.2">
      <c r="A118" s="29" t="s">
        <v>6</v>
      </c>
      <c r="B118" s="31" t="s">
        <v>59</v>
      </c>
      <c r="C118" s="31"/>
      <c r="D118" s="13"/>
    </row>
    <row r="119" spans="1:4" x14ac:dyDescent="0.2">
      <c r="A119" s="29" t="s">
        <v>8</v>
      </c>
      <c r="B119" s="31" t="s">
        <v>60</v>
      </c>
      <c r="C119" s="31"/>
      <c r="D119" s="13"/>
    </row>
    <row r="120" spans="1:4" x14ac:dyDescent="0.2">
      <c r="A120" s="29" t="s">
        <v>10</v>
      </c>
      <c r="B120" s="31" t="s">
        <v>15</v>
      </c>
      <c r="C120" s="31"/>
      <c r="D120" s="13"/>
    </row>
    <row r="121" spans="1:4" x14ac:dyDescent="0.2">
      <c r="A121" s="76" t="s">
        <v>37</v>
      </c>
      <c r="B121" s="76"/>
      <c r="C121" s="76"/>
      <c r="D121" s="20">
        <f>SUM(D117:D120)</f>
        <v>0</v>
      </c>
    </row>
    <row r="124" spans="1:4" x14ac:dyDescent="0.2">
      <c r="A124" s="79" t="s">
        <v>61</v>
      </c>
      <c r="B124" s="79"/>
      <c r="C124" s="79"/>
      <c r="D124" s="79"/>
    </row>
    <row r="126" spans="1:4" x14ac:dyDescent="0.2">
      <c r="A126" s="30">
        <v>6</v>
      </c>
      <c r="B126" s="32" t="s">
        <v>62</v>
      </c>
      <c r="C126" s="30" t="s">
        <v>26</v>
      </c>
      <c r="D126" s="30" t="s">
        <v>3</v>
      </c>
    </row>
    <row r="127" spans="1:4" x14ac:dyDescent="0.2">
      <c r="A127" s="29" t="s">
        <v>4</v>
      </c>
      <c r="B127" s="31" t="s">
        <v>63</v>
      </c>
      <c r="C127" s="9">
        <v>0.05</v>
      </c>
      <c r="D127" s="14">
        <f>D147*C127</f>
        <v>158.13710000000003</v>
      </c>
    </row>
    <row r="128" spans="1:4" x14ac:dyDescent="0.2">
      <c r="A128" s="29" t="s">
        <v>6</v>
      </c>
      <c r="B128" s="31" t="s">
        <v>64</v>
      </c>
      <c r="C128" s="9">
        <v>0.06</v>
      </c>
      <c r="D128" s="13">
        <f>(D147+D127)*C128</f>
        <v>199.252746</v>
      </c>
    </row>
    <row r="129" spans="1:4" x14ac:dyDescent="0.2">
      <c r="A129" s="29" t="s">
        <v>8</v>
      </c>
      <c r="B129" s="31" t="s">
        <v>65</v>
      </c>
      <c r="C129" s="12">
        <f>SUM(C130:C135)</f>
        <v>8.6499999999999994E-2</v>
      </c>
      <c r="D129" s="13">
        <f>(D147+D127+D128)*C129/(1-C129)</f>
        <v>333.32392411494249</v>
      </c>
    </row>
    <row r="130" spans="1:4" x14ac:dyDescent="0.2">
      <c r="A130" s="29"/>
      <c r="B130" s="31" t="s">
        <v>66</v>
      </c>
      <c r="C130" s="9"/>
      <c r="D130" s="14">
        <f>$D$149*C130</f>
        <v>0</v>
      </c>
    </row>
    <row r="131" spans="1:4" x14ac:dyDescent="0.2">
      <c r="A131" s="29"/>
      <c r="B131" s="31" t="s">
        <v>96</v>
      </c>
      <c r="C131" s="9">
        <v>6.4999999999999997E-3</v>
      </c>
      <c r="D131" s="14">
        <f t="shared" ref="D131:D135" si="3">$D$149*C131</f>
        <v>25.04749</v>
      </c>
    </row>
    <row r="132" spans="1:4" x14ac:dyDescent="0.2">
      <c r="A132" s="29"/>
      <c r="B132" s="31" t="s">
        <v>97</v>
      </c>
      <c r="C132" s="9">
        <v>0.03</v>
      </c>
      <c r="D132" s="14">
        <f t="shared" si="3"/>
        <v>115.60379999999999</v>
      </c>
    </row>
    <row r="133" spans="1:4" x14ac:dyDescent="0.2">
      <c r="A133" s="29"/>
      <c r="B133" s="31" t="s">
        <v>67</v>
      </c>
      <c r="C133" s="29"/>
      <c r="D133" s="14">
        <f t="shared" si="3"/>
        <v>0</v>
      </c>
    </row>
    <row r="134" spans="1:4" x14ac:dyDescent="0.2">
      <c r="A134" s="29"/>
      <c r="B134" s="31" t="s">
        <v>68</v>
      </c>
      <c r="C134" s="9"/>
      <c r="D134" s="14">
        <f t="shared" si="3"/>
        <v>0</v>
      </c>
    </row>
    <row r="135" spans="1:4" x14ac:dyDescent="0.2">
      <c r="A135" s="29"/>
      <c r="B135" s="31" t="s">
        <v>98</v>
      </c>
      <c r="C135" s="9">
        <v>0.05</v>
      </c>
      <c r="D135" s="14">
        <f t="shared" si="3"/>
        <v>192.673</v>
      </c>
    </row>
    <row r="136" spans="1:4" ht="13.5" x14ac:dyDescent="0.2">
      <c r="A136" s="84" t="s">
        <v>37</v>
      </c>
      <c r="B136" s="85"/>
      <c r="C136" s="21">
        <f>TRUNC((1+C128)*(1+C127)/(1-C129)-1,5)</f>
        <v>0.21839</v>
      </c>
      <c r="D136" s="19">
        <f>SUM(D127:D129)</f>
        <v>690.71377011494246</v>
      </c>
    </row>
    <row r="139" spans="1:4" x14ac:dyDescent="0.2">
      <c r="A139" s="79" t="s">
        <v>69</v>
      </c>
      <c r="B139" s="79"/>
      <c r="C139" s="79"/>
      <c r="D139" s="79"/>
    </row>
    <row r="141" spans="1:4" x14ac:dyDescent="0.2">
      <c r="A141" s="30"/>
      <c r="B141" s="76" t="s">
        <v>70</v>
      </c>
      <c r="C141" s="76"/>
      <c r="D141" s="30" t="s">
        <v>3</v>
      </c>
    </row>
    <row r="142" spans="1:4" x14ac:dyDescent="0.2">
      <c r="A142" s="30" t="s">
        <v>4</v>
      </c>
      <c r="B142" s="75" t="s">
        <v>1</v>
      </c>
      <c r="C142" s="75"/>
      <c r="D142" s="22">
        <f>D26</f>
        <v>1757.3</v>
      </c>
    </row>
    <row r="143" spans="1:4" x14ac:dyDescent="0.2">
      <c r="A143" s="30" t="s">
        <v>6</v>
      </c>
      <c r="B143" s="75" t="s">
        <v>17</v>
      </c>
      <c r="C143" s="75"/>
      <c r="D143" s="22">
        <f>D69</f>
        <v>1237.3320000000003</v>
      </c>
    </row>
    <row r="144" spans="1:4" x14ac:dyDescent="0.2">
      <c r="A144" s="30" t="s">
        <v>8</v>
      </c>
      <c r="B144" s="75" t="s">
        <v>46</v>
      </c>
      <c r="C144" s="75"/>
      <c r="D144" s="22">
        <f>D81</f>
        <v>108.22</v>
      </c>
    </row>
    <row r="145" spans="1:4" x14ac:dyDescent="0.2">
      <c r="A145" s="30" t="s">
        <v>10</v>
      </c>
      <c r="B145" s="75" t="s">
        <v>51</v>
      </c>
      <c r="C145" s="75"/>
      <c r="D145" s="22">
        <f>D111</f>
        <v>59.889999999999986</v>
      </c>
    </row>
    <row r="146" spans="1:4" x14ac:dyDescent="0.2">
      <c r="A146" s="30" t="s">
        <v>12</v>
      </c>
      <c r="B146" s="75" t="s">
        <v>56</v>
      </c>
      <c r="C146" s="75"/>
      <c r="D146" s="22">
        <f>D121</f>
        <v>0</v>
      </c>
    </row>
    <row r="147" spans="1:4" x14ac:dyDescent="0.2">
      <c r="A147" s="76" t="s">
        <v>95</v>
      </c>
      <c r="B147" s="76"/>
      <c r="C147" s="76"/>
      <c r="D147" s="23">
        <f>SUM(D142:D146)</f>
        <v>3162.7420000000002</v>
      </c>
    </row>
    <row r="148" spans="1:4" x14ac:dyDescent="0.2">
      <c r="A148" s="30" t="s">
        <v>32</v>
      </c>
      <c r="B148" s="75" t="s">
        <v>71</v>
      </c>
      <c r="C148" s="75"/>
      <c r="D148" s="24">
        <f>D136</f>
        <v>690.71377011494246</v>
      </c>
    </row>
    <row r="149" spans="1:4" x14ac:dyDescent="0.2">
      <c r="A149" s="76" t="s">
        <v>72</v>
      </c>
      <c r="B149" s="76"/>
      <c r="C149" s="76"/>
      <c r="D149" s="23">
        <f>ROUND(SUM(D147:D148),2)</f>
        <v>3853.46</v>
      </c>
    </row>
  </sheetData>
  <mergeCells count="70">
    <mergeCell ref="B146:C146"/>
    <mergeCell ref="A147:C147"/>
    <mergeCell ref="B148:C148"/>
    <mergeCell ref="A149:C149"/>
    <mergeCell ref="A139:D139"/>
    <mergeCell ref="B141:C141"/>
    <mergeCell ref="B142:C142"/>
    <mergeCell ref="B143:C143"/>
    <mergeCell ref="B144:C144"/>
    <mergeCell ref="B145:C145"/>
    <mergeCell ref="A136:B136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</mergeCells>
  <pageMargins left="0.511811024" right="0.511811024" top="1.09375" bottom="0.78740157499999996" header="0.31496062000000002" footer="0.31496062000000002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topLeftCell="A31" zoomScale="115" zoomScaleNormal="115" workbookViewId="0">
      <selection activeCell="A49" sqref="A4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0" t="s">
        <v>0</v>
      </c>
      <c r="B1" s="80"/>
      <c r="C1" s="80"/>
      <c r="D1" s="80"/>
    </row>
    <row r="2" spans="1:4" ht="15.75" x14ac:dyDescent="0.25">
      <c r="A2" s="26"/>
      <c r="B2" s="26"/>
      <c r="C2" s="26"/>
      <c r="D2" s="26"/>
    </row>
    <row r="3" spans="1:4" x14ac:dyDescent="0.2">
      <c r="A3" s="82" t="s">
        <v>89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ht="38.25" x14ac:dyDescent="0.2">
      <c r="A5" s="83" t="s">
        <v>90</v>
      </c>
      <c r="B5" s="83"/>
      <c r="C5" s="36" t="s">
        <v>91</v>
      </c>
      <c r="D5" s="27" t="s">
        <v>92</v>
      </c>
    </row>
    <row r="6" spans="1:4" x14ac:dyDescent="0.2">
      <c r="A6" s="90" t="s">
        <v>125</v>
      </c>
      <c r="B6" s="90"/>
      <c r="C6" s="37" t="s">
        <v>102</v>
      </c>
      <c r="D6" s="37">
        <v>2</v>
      </c>
    </row>
    <row r="8" spans="1:4" x14ac:dyDescent="0.2">
      <c r="A8" s="82" t="s">
        <v>73</v>
      </c>
      <c r="B8" s="82"/>
      <c r="C8" s="82"/>
      <c r="D8" s="82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1" t="s">
        <v>104</v>
      </c>
      <c r="D10" s="92"/>
    </row>
    <row r="11" spans="1:4" x14ac:dyDescent="0.2">
      <c r="A11" s="5">
        <v>2</v>
      </c>
      <c r="B11" s="5" t="s">
        <v>93</v>
      </c>
      <c r="C11" s="91" t="s">
        <v>105</v>
      </c>
      <c r="D11" s="92"/>
    </row>
    <row r="12" spans="1:4" x14ac:dyDescent="0.2">
      <c r="A12" s="5">
        <v>3</v>
      </c>
      <c r="B12" s="5" t="s">
        <v>75</v>
      </c>
      <c r="C12" s="91"/>
      <c r="D12" s="92"/>
    </row>
    <row r="13" spans="1:4" x14ac:dyDescent="0.2">
      <c r="A13" s="5">
        <v>4</v>
      </c>
      <c r="B13" s="5" t="s">
        <v>76</v>
      </c>
      <c r="C13" s="91"/>
      <c r="D13" s="92"/>
    </row>
    <row r="14" spans="1:4" x14ac:dyDescent="0.2">
      <c r="A14" s="5">
        <v>5</v>
      </c>
      <c r="B14" s="5" t="s">
        <v>77</v>
      </c>
      <c r="C14" s="91"/>
      <c r="D14" s="92"/>
    </row>
    <row r="16" spans="1:4" x14ac:dyDescent="0.2">
      <c r="A16" s="82" t="s">
        <v>1</v>
      </c>
      <c r="B16" s="82"/>
      <c r="C16" s="82"/>
      <c r="D16" s="82"/>
    </row>
    <row r="18" spans="1:4" x14ac:dyDescent="0.2">
      <c r="A18" s="34">
        <v>1</v>
      </c>
      <c r="B18" s="76" t="s">
        <v>2</v>
      </c>
      <c r="C18" s="76"/>
      <c r="D18" s="34" t="s">
        <v>3</v>
      </c>
    </row>
    <row r="19" spans="1:4" x14ac:dyDescent="0.2">
      <c r="A19" s="36" t="s">
        <v>4</v>
      </c>
      <c r="B19" s="75" t="s">
        <v>5</v>
      </c>
      <c r="C19" s="75"/>
      <c r="D19" s="13">
        <v>3659.5</v>
      </c>
    </row>
    <row r="20" spans="1:4" x14ac:dyDescent="0.2">
      <c r="A20" s="36" t="s">
        <v>6</v>
      </c>
      <c r="B20" s="75" t="s">
        <v>7</v>
      </c>
      <c r="C20" s="75"/>
      <c r="D20" s="13"/>
    </row>
    <row r="21" spans="1:4" x14ac:dyDescent="0.2">
      <c r="A21" s="36" t="s">
        <v>8</v>
      </c>
      <c r="B21" s="75" t="s">
        <v>9</v>
      </c>
      <c r="C21" s="75"/>
      <c r="D21" s="13"/>
    </row>
    <row r="22" spans="1:4" x14ac:dyDescent="0.2">
      <c r="A22" s="36" t="s">
        <v>10</v>
      </c>
      <c r="B22" s="75" t="s">
        <v>11</v>
      </c>
      <c r="C22" s="75"/>
      <c r="D22" s="13"/>
    </row>
    <row r="23" spans="1:4" x14ac:dyDescent="0.2">
      <c r="A23" s="36" t="s">
        <v>12</v>
      </c>
      <c r="B23" s="75" t="s">
        <v>13</v>
      </c>
      <c r="C23" s="75"/>
      <c r="D23" s="13"/>
    </row>
    <row r="24" spans="1:4" x14ac:dyDescent="0.2">
      <c r="A24" s="36"/>
      <c r="B24" s="75"/>
      <c r="C24" s="75"/>
      <c r="D24" s="13"/>
    </row>
    <row r="25" spans="1:4" x14ac:dyDescent="0.2">
      <c r="A25" s="36" t="s">
        <v>14</v>
      </c>
      <c r="B25" s="75" t="s">
        <v>15</v>
      </c>
      <c r="C25" s="75"/>
      <c r="D25" s="13"/>
    </row>
    <row r="26" spans="1:4" x14ac:dyDescent="0.2">
      <c r="A26" s="76" t="s">
        <v>16</v>
      </c>
      <c r="B26" s="76"/>
      <c r="C26" s="76"/>
      <c r="D26" s="20">
        <f>SUM(D19:D25)</f>
        <v>3659.5</v>
      </c>
    </row>
    <row r="29" spans="1:4" x14ac:dyDescent="0.2">
      <c r="A29" s="79" t="s">
        <v>17</v>
      </c>
      <c r="B29" s="79"/>
      <c r="C29" s="79"/>
      <c r="D29" s="79"/>
    </row>
    <row r="30" spans="1:4" x14ac:dyDescent="0.2">
      <c r="A30" s="3"/>
    </row>
    <row r="31" spans="1:4" x14ac:dyDescent="0.2">
      <c r="A31" s="77" t="s">
        <v>18</v>
      </c>
      <c r="B31" s="77"/>
      <c r="C31" s="77"/>
      <c r="D31" s="77"/>
    </row>
    <row r="33" spans="1:4" x14ac:dyDescent="0.2">
      <c r="A33" s="34" t="s">
        <v>19</v>
      </c>
      <c r="B33" s="76" t="s">
        <v>20</v>
      </c>
      <c r="C33" s="76"/>
      <c r="D33" s="34" t="s">
        <v>3</v>
      </c>
    </row>
    <row r="34" spans="1:4" x14ac:dyDescent="0.2">
      <c r="A34" s="36" t="s">
        <v>4</v>
      </c>
      <c r="B34" s="33" t="s">
        <v>21</v>
      </c>
      <c r="C34" s="12">
        <f>TRUNC(1/12,4)</f>
        <v>8.3299999999999999E-2</v>
      </c>
      <c r="D34" s="13">
        <f>TRUNC($D$26*C34,2)</f>
        <v>304.83</v>
      </c>
    </row>
    <row r="35" spans="1:4" x14ac:dyDescent="0.2">
      <c r="A35" s="36" t="s">
        <v>6</v>
      </c>
      <c r="B35" s="33" t="s">
        <v>22</v>
      </c>
      <c r="C35" s="12">
        <f>TRUNC(((1+1/3)/12),4)</f>
        <v>0.1111</v>
      </c>
      <c r="D35" s="13">
        <f>TRUNC($D$26*C35,2)</f>
        <v>406.57</v>
      </c>
    </row>
    <row r="36" spans="1:4" x14ac:dyDescent="0.2">
      <c r="A36" s="76" t="s">
        <v>16</v>
      </c>
      <c r="B36" s="76"/>
      <c r="C36" s="28">
        <f>TRUNC(SUM(C34:C35),5)</f>
        <v>0.19439999999999999</v>
      </c>
      <c r="D36" s="19">
        <f>SUM(D34:D35)</f>
        <v>711.4</v>
      </c>
    </row>
    <row r="39" spans="1:4" x14ac:dyDescent="0.2">
      <c r="A39" s="81" t="s">
        <v>23</v>
      </c>
      <c r="B39" s="81"/>
      <c r="C39" s="81"/>
      <c r="D39" s="81"/>
    </row>
    <row r="41" spans="1:4" x14ac:dyDescent="0.2">
      <c r="A41" s="34" t="s">
        <v>24</v>
      </c>
      <c r="B41" s="34" t="s">
        <v>25</v>
      </c>
      <c r="C41" s="34" t="s">
        <v>26</v>
      </c>
      <c r="D41" s="34" t="s">
        <v>3</v>
      </c>
    </row>
    <row r="42" spans="1:4" x14ac:dyDescent="0.2">
      <c r="A42" s="36" t="s">
        <v>4</v>
      </c>
      <c r="B42" s="33" t="s">
        <v>27</v>
      </c>
      <c r="C42" s="9">
        <v>0.2</v>
      </c>
      <c r="D42" s="13">
        <f>TRUNC(($D$26+$D$36)*C42,2)</f>
        <v>874.18</v>
      </c>
    </row>
    <row r="43" spans="1:4" x14ac:dyDescent="0.2">
      <c r="A43" s="36" t="s">
        <v>6</v>
      </c>
      <c r="B43" s="33" t="s">
        <v>28</v>
      </c>
      <c r="C43" s="9">
        <v>2.5000000000000001E-2</v>
      </c>
      <c r="D43" s="13">
        <f t="shared" ref="D43:D49" si="0">TRUNC(($D$26+$D$36)*C43,2)</f>
        <v>109.27</v>
      </c>
    </row>
    <row r="44" spans="1:4" x14ac:dyDescent="0.2">
      <c r="A44" s="36" t="s">
        <v>8</v>
      </c>
      <c r="B44" s="33" t="s">
        <v>29</v>
      </c>
      <c r="C44" s="16">
        <v>0.03</v>
      </c>
      <c r="D44" s="13">
        <f t="shared" si="0"/>
        <v>131.12</v>
      </c>
    </row>
    <row r="45" spans="1:4" x14ac:dyDescent="0.2">
      <c r="A45" s="36" t="s">
        <v>10</v>
      </c>
      <c r="B45" s="33" t="s">
        <v>30</v>
      </c>
      <c r="C45" s="9">
        <v>1.4999999999999999E-2</v>
      </c>
      <c r="D45" s="13">
        <f t="shared" si="0"/>
        <v>65.56</v>
      </c>
    </row>
    <row r="46" spans="1:4" x14ac:dyDescent="0.2">
      <c r="A46" s="36" t="s">
        <v>12</v>
      </c>
      <c r="B46" s="33" t="s">
        <v>31</v>
      </c>
      <c r="C46" s="9">
        <v>0.01</v>
      </c>
      <c r="D46" s="13">
        <f t="shared" si="0"/>
        <v>43.7</v>
      </c>
    </row>
    <row r="47" spans="1:4" x14ac:dyDescent="0.2">
      <c r="A47" s="36" t="s">
        <v>32</v>
      </c>
      <c r="B47" s="33" t="s">
        <v>33</v>
      </c>
      <c r="C47" s="9">
        <v>6.0000000000000001E-3</v>
      </c>
      <c r="D47" s="13">
        <f t="shared" si="0"/>
        <v>26.22</v>
      </c>
    </row>
    <row r="48" spans="1:4" x14ac:dyDescent="0.2">
      <c r="A48" s="36" t="s">
        <v>14</v>
      </c>
      <c r="B48" s="33" t="s">
        <v>34</v>
      </c>
      <c r="C48" s="9">
        <v>2E-3</v>
      </c>
      <c r="D48" s="13">
        <f t="shared" si="0"/>
        <v>8.74</v>
      </c>
    </row>
    <row r="49" spans="1:4" x14ac:dyDescent="0.2">
      <c r="A49" s="36" t="s">
        <v>35</v>
      </c>
      <c r="B49" s="33" t="s">
        <v>36</v>
      </c>
      <c r="C49" s="9">
        <v>0.08</v>
      </c>
      <c r="D49" s="13">
        <f t="shared" si="0"/>
        <v>349.67</v>
      </c>
    </row>
    <row r="50" spans="1:4" x14ac:dyDescent="0.2">
      <c r="A50" s="76" t="s">
        <v>37</v>
      </c>
      <c r="B50" s="76"/>
      <c r="C50" s="15">
        <f>SUM(C42:C49)</f>
        <v>0.36800000000000005</v>
      </c>
      <c r="D50" s="19">
        <f>SUM(D42:D49)</f>
        <v>1608.46</v>
      </c>
    </row>
    <row r="53" spans="1:4" x14ac:dyDescent="0.2">
      <c r="A53" s="77" t="s">
        <v>38</v>
      </c>
      <c r="B53" s="77"/>
      <c r="C53" s="77"/>
      <c r="D53" s="77"/>
    </row>
    <row r="55" spans="1:4" x14ac:dyDescent="0.2">
      <c r="A55" s="34" t="s">
        <v>39</v>
      </c>
      <c r="B55" s="78" t="s">
        <v>40</v>
      </c>
      <c r="C55" s="78"/>
      <c r="D55" s="34" t="s">
        <v>3</v>
      </c>
    </row>
    <row r="56" spans="1:4" x14ac:dyDescent="0.2">
      <c r="A56" s="36" t="s">
        <v>4</v>
      </c>
      <c r="B56" s="75" t="s">
        <v>41</v>
      </c>
      <c r="C56" s="75"/>
      <c r="D56" s="13">
        <f>IF((22*2*5.2)-(D19*0.06)&gt;0,(22*2*5.2)-(D19*0.06),0)</f>
        <v>9.2300000000000182</v>
      </c>
    </row>
    <row r="57" spans="1:4" x14ac:dyDescent="0.2">
      <c r="A57" s="36" t="s">
        <v>6</v>
      </c>
      <c r="B57" s="75" t="s">
        <v>42</v>
      </c>
      <c r="C57" s="75"/>
      <c r="D57" s="13"/>
    </row>
    <row r="58" spans="1:4" x14ac:dyDescent="0.2">
      <c r="A58" s="36" t="s">
        <v>8</v>
      </c>
      <c r="B58" s="75" t="s">
        <v>43</v>
      </c>
      <c r="C58" s="75"/>
      <c r="D58" s="13"/>
    </row>
    <row r="59" spans="1:4" x14ac:dyDescent="0.2">
      <c r="A59" s="36" t="s">
        <v>10</v>
      </c>
      <c r="B59" s="75" t="s">
        <v>15</v>
      </c>
      <c r="C59" s="75"/>
      <c r="D59" s="13"/>
    </row>
    <row r="60" spans="1:4" x14ac:dyDescent="0.2">
      <c r="A60" s="76" t="s">
        <v>16</v>
      </c>
      <c r="B60" s="76"/>
      <c r="C60" s="76"/>
      <c r="D60" s="19">
        <f>SUM(D56:D59)</f>
        <v>9.2300000000000182</v>
      </c>
    </row>
    <row r="63" spans="1:4" x14ac:dyDescent="0.2">
      <c r="A63" s="77" t="s">
        <v>44</v>
      </c>
      <c r="B63" s="77"/>
      <c r="C63" s="77"/>
      <c r="D63" s="77"/>
    </row>
    <row r="65" spans="1:5" x14ac:dyDescent="0.2">
      <c r="A65" s="34">
        <v>2</v>
      </c>
      <c r="B65" s="78" t="s">
        <v>45</v>
      </c>
      <c r="C65" s="78"/>
      <c r="D65" s="34" t="s">
        <v>3</v>
      </c>
    </row>
    <row r="66" spans="1:5" x14ac:dyDescent="0.2">
      <c r="A66" s="36" t="s">
        <v>19</v>
      </c>
      <c r="B66" s="75" t="s">
        <v>20</v>
      </c>
      <c r="C66" s="75"/>
      <c r="D66" s="14">
        <f>D36</f>
        <v>711.4</v>
      </c>
    </row>
    <row r="67" spans="1:5" x14ac:dyDescent="0.2">
      <c r="A67" s="36" t="s">
        <v>24</v>
      </c>
      <c r="B67" s="75" t="s">
        <v>25</v>
      </c>
      <c r="C67" s="75"/>
      <c r="D67" s="14">
        <f>D50</f>
        <v>1608.46</v>
      </c>
    </row>
    <row r="68" spans="1:5" x14ac:dyDescent="0.2">
      <c r="A68" s="36" t="s">
        <v>39</v>
      </c>
      <c r="B68" s="75" t="s">
        <v>40</v>
      </c>
      <c r="C68" s="75"/>
      <c r="D68" s="14">
        <f>D60</f>
        <v>9.2300000000000182</v>
      </c>
    </row>
    <row r="69" spans="1:5" x14ac:dyDescent="0.2">
      <c r="A69" s="76" t="s">
        <v>16</v>
      </c>
      <c r="B69" s="76"/>
      <c r="C69" s="76"/>
      <c r="D69" s="19">
        <f>SUM(D66:D68)</f>
        <v>2329.09</v>
      </c>
    </row>
    <row r="70" spans="1:5" x14ac:dyDescent="0.2">
      <c r="A70" s="4"/>
      <c r="E70" s="18"/>
    </row>
    <row r="72" spans="1:5" x14ac:dyDescent="0.2">
      <c r="A72" s="79" t="s">
        <v>46</v>
      </c>
      <c r="B72" s="79"/>
      <c r="C72" s="79"/>
      <c r="D72" s="79"/>
      <c r="E72" s="17"/>
    </row>
    <row r="73" spans="1:5" ht="12.75" customHeight="1" x14ac:dyDescent="0.2">
      <c r="E73" s="18"/>
    </row>
    <row r="74" spans="1:5" x14ac:dyDescent="0.2">
      <c r="A74" s="34">
        <v>3</v>
      </c>
      <c r="B74" s="78" t="s">
        <v>47</v>
      </c>
      <c r="C74" s="78"/>
      <c r="D74" s="34" t="s">
        <v>3</v>
      </c>
    </row>
    <row r="75" spans="1:5" x14ac:dyDescent="0.2">
      <c r="A75" s="36" t="s">
        <v>4</v>
      </c>
      <c r="B75" s="10" t="s">
        <v>48</v>
      </c>
      <c r="C75" s="9">
        <f>TRUNC(((1/12)*0%),4)</f>
        <v>0</v>
      </c>
      <c r="D75" s="13">
        <f>TRUNC($D$26*C75,2)</f>
        <v>0</v>
      </c>
    </row>
    <row r="76" spans="1:5" x14ac:dyDescent="0.2">
      <c r="A76" s="36" t="s">
        <v>6</v>
      </c>
      <c r="B76" s="10" t="s">
        <v>49</v>
      </c>
      <c r="C76" s="9">
        <v>0.08</v>
      </c>
      <c r="D76" s="13">
        <f>TRUNC(D75*C76,2)</f>
        <v>0</v>
      </c>
    </row>
    <row r="77" spans="1:5" x14ac:dyDescent="0.2">
      <c r="A77" s="36" t="s">
        <v>8</v>
      </c>
      <c r="B77" s="10" t="s">
        <v>99</v>
      </c>
      <c r="C77" s="9">
        <f>TRUNC(8%*0%*40%,4)</f>
        <v>0</v>
      </c>
      <c r="D77" s="13">
        <f>TRUNC($D$26*C77,2)</f>
        <v>0</v>
      </c>
    </row>
    <row r="78" spans="1:5" x14ac:dyDescent="0.2">
      <c r="A78" s="36" t="s">
        <v>10</v>
      </c>
      <c r="B78" s="10" t="s">
        <v>50</v>
      </c>
      <c r="C78" s="9">
        <f>TRUNC(((7/30)/12)*0%,4)</f>
        <v>0</v>
      </c>
      <c r="D78" s="13">
        <f>TRUNC($D$26*C78,2)</f>
        <v>0</v>
      </c>
    </row>
    <row r="79" spans="1:5" ht="25.5" x14ac:dyDescent="0.2">
      <c r="A79" s="36" t="s">
        <v>12</v>
      </c>
      <c r="B79" s="10" t="s">
        <v>94</v>
      </c>
      <c r="C79" s="9">
        <f>C50</f>
        <v>0.36800000000000005</v>
      </c>
      <c r="D79" s="13">
        <f>TRUNC(D78*C79,2)</f>
        <v>0</v>
      </c>
    </row>
    <row r="80" spans="1:5" x14ac:dyDescent="0.2">
      <c r="A80" s="36" t="s">
        <v>32</v>
      </c>
      <c r="B80" s="10" t="s">
        <v>100</v>
      </c>
      <c r="C80" s="9">
        <f>TRUNC(8%*0%*40%,4)</f>
        <v>0</v>
      </c>
      <c r="D80" s="13">
        <f t="shared" ref="D80" si="1">TRUNC($D$26*C80,2)</f>
        <v>0</v>
      </c>
    </row>
    <row r="81" spans="1:6" x14ac:dyDescent="0.2">
      <c r="A81" s="84" t="s">
        <v>16</v>
      </c>
      <c r="B81" s="85"/>
      <c r="C81" s="86"/>
      <c r="D81" s="19">
        <f>SUM(D75:D80)</f>
        <v>0</v>
      </c>
    </row>
    <row r="84" spans="1:6" x14ac:dyDescent="0.2">
      <c r="A84" s="79" t="s">
        <v>51</v>
      </c>
      <c r="B84" s="79"/>
      <c r="C84" s="79"/>
      <c r="D84" s="79"/>
    </row>
    <row r="87" spans="1:6" x14ac:dyDescent="0.2">
      <c r="A87" s="77" t="s">
        <v>78</v>
      </c>
      <c r="B87" s="77"/>
      <c r="C87" s="77"/>
      <c r="D87" s="77"/>
    </row>
    <row r="88" spans="1:6" x14ac:dyDescent="0.2">
      <c r="A88" s="3"/>
    </row>
    <row r="89" spans="1:6" x14ac:dyDescent="0.2">
      <c r="A89" s="34" t="s">
        <v>52</v>
      </c>
      <c r="B89" s="78" t="s">
        <v>79</v>
      </c>
      <c r="C89" s="78"/>
      <c r="D89" s="34" t="s">
        <v>3</v>
      </c>
    </row>
    <row r="90" spans="1:6" x14ac:dyDescent="0.2">
      <c r="A90" s="36" t="s">
        <v>4</v>
      </c>
      <c r="B90" s="33" t="s">
        <v>80</v>
      </c>
      <c r="C90" s="9">
        <f>TRUNC(((1+1/3)/12)/12,4)*0</f>
        <v>0</v>
      </c>
      <c r="D90" s="13">
        <f>TRUNC(($D$26+$D$69+$D$81)*C90,2)</f>
        <v>0</v>
      </c>
    </row>
    <row r="91" spans="1:6" x14ac:dyDescent="0.2">
      <c r="A91" s="36" t="s">
        <v>6</v>
      </c>
      <c r="B91" s="33" t="s">
        <v>81</v>
      </c>
      <c r="C91" s="9">
        <f>TRUNC(((2/30)/12),4)</f>
        <v>5.4999999999999997E-3</v>
      </c>
      <c r="D91" s="13">
        <f t="shared" ref="D91:D95" si="2">TRUNC(($D$26+$D$69+$D$81)*C91,2)</f>
        <v>32.93</v>
      </c>
    </row>
    <row r="92" spans="1:6" x14ac:dyDescent="0.2">
      <c r="A92" s="36" t="s">
        <v>8</v>
      </c>
      <c r="B92" s="33" t="s">
        <v>82</v>
      </c>
      <c r="C92" s="9">
        <f>TRUNC(((5/30)/12)*2%,4)*0</f>
        <v>0</v>
      </c>
      <c r="D92" s="13">
        <f t="shared" si="2"/>
        <v>0</v>
      </c>
    </row>
    <row r="93" spans="1:6" x14ac:dyDescent="0.2">
      <c r="A93" s="36" t="s">
        <v>10</v>
      </c>
      <c r="B93" s="33" t="s">
        <v>83</v>
      </c>
      <c r="C93" s="9">
        <f>TRUNC(((15/30)/12)*8%,4)*0</f>
        <v>0</v>
      </c>
      <c r="D93" s="13">
        <f t="shared" si="2"/>
        <v>0</v>
      </c>
    </row>
    <row r="94" spans="1:6" x14ac:dyDescent="0.2">
      <c r="A94" s="36" t="s">
        <v>12</v>
      </c>
      <c r="B94" s="33" t="s">
        <v>84</v>
      </c>
      <c r="C94" s="9">
        <f>((1+1/3)/12)*3%*(4/12)*0</f>
        <v>0</v>
      </c>
      <c r="D94" s="13">
        <f t="shared" si="2"/>
        <v>0</v>
      </c>
    </row>
    <row r="95" spans="1:6" x14ac:dyDescent="0.2">
      <c r="A95" s="36" t="s">
        <v>32</v>
      </c>
      <c r="B95" s="33" t="s">
        <v>85</v>
      </c>
      <c r="C95" s="9"/>
      <c r="D95" s="13">
        <f t="shared" si="2"/>
        <v>0</v>
      </c>
    </row>
    <row r="96" spans="1:6" x14ac:dyDescent="0.2">
      <c r="A96" s="76" t="s">
        <v>37</v>
      </c>
      <c r="B96" s="76"/>
      <c r="C96" s="76"/>
      <c r="D96" s="19">
        <f>SUM(D90:D95)</f>
        <v>32.93</v>
      </c>
      <c r="E96" s="17"/>
      <c r="F96" s="17"/>
    </row>
    <row r="99" spans="1:4" x14ac:dyDescent="0.2">
      <c r="A99" s="77" t="s">
        <v>86</v>
      </c>
      <c r="B99" s="77"/>
      <c r="C99" s="77"/>
      <c r="D99" s="77"/>
    </row>
    <row r="100" spans="1:4" x14ac:dyDescent="0.2">
      <c r="A100" s="3"/>
    </row>
    <row r="101" spans="1:4" x14ac:dyDescent="0.2">
      <c r="A101" s="34" t="s">
        <v>53</v>
      </c>
      <c r="B101" s="78" t="s">
        <v>87</v>
      </c>
      <c r="C101" s="78"/>
      <c r="D101" s="34" t="s">
        <v>3</v>
      </c>
    </row>
    <row r="102" spans="1:4" x14ac:dyDescent="0.2">
      <c r="A102" s="36" t="s">
        <v>4</v>
      </c>
      <c r="B102" s="87" t="s">
        <v>88</v>
      </c>
      <c r="C102" s="88"/>
      <c r="D102" s="13">
        <f>((D26+D69+D81)/220)*22*0</f>
        <v>0</v>
      </c>
    </row>
    <row r="103" spans="1:4" x14ac:dyDescent="0.2">
      <c r="A103" s="76" t="s">
        <v>16</v>
      </c>
      <c r="B103" s="76"/>
      <c r="C103" s="76"/>
      <c r="D103" s="19">
        <f>SUM(D102)</f>
        <v>0</v>
      </c>
    </row>
    <row r="106" spans="1:4" x14ac:dyDescent="0.2">
      <c r="A106" s="77" t="s">
        <v>54</v>
      </c>
      <c r="B106" s="77"/>
      <c r="C106" s="77"/>
      <c r="D106" s="77"/>
    </row>
    <row r="107" spans="1:4" x14ac:dyDescent="0.2">
      <c r="A107" s="3"/>
    </row>
    <row r="108" spans="1:4" x14ac:dyDescent="0.2">
      <c r="A108" s="34">
        <v>4</v>
      </c>
      <c r="B108" s="76" t="s">
        <v>55</v>
      </c>
      <c r="C108" s="76"/>
      <c r="D108" s="34" t="s">
        <v>3</v>
      </c>
    </row>
    <row r="109" spans="1:4" x14ac:dyDescent="0.2">
      <c r="A109" s="36" t="s">
        <v>52</v>
      </c>
      <c r="B109" s="75" t="s">
        <v>79</v>
      </c>
      <c r="C109" s="75"/>
      <c r="D109" s="14">
        <f>D96</f>
        <v>32.93</v>
      </c>
    </row>
    <row r="110" spans="1:4" x14ac:dyDescent="0.2">
      <c r="A110" s="36" t="s">
        <v>53</v>
      </c>
      <c r="B110" s="75" t="s">
        <v>87</v>
      </c>
      <c r="C110" s="75"/>
      <c r="D110" s="14">
        <f>D103</f>
        <v>0</v>
      </c>
    </row>
    <row r="111" spans="1:4" x14ac:dyDescent="0.2">
      <c r="A111" s="76" t="s">
        <v>16</v>
      </c>
      <c r="B111" s="76"/>
      <c r="C111" s="76"/>
      <c r="D111" s="19">
        <f>SUM(D109:D110)</f>
        <v>32.93</v>
      </c>
    </row>
    <row r="114" spans="1:4" x14ac:dyDescent="0.2">
      <c r="A114" s="79" t="s">
        <v>56</v>
      </c>
      <c r="B114" s="79"/>
      <c r="C114" s="79"/>
      <c r="D114" s="79"/>
    </row>
    <row r="116" spans="1:4" x14ac:dyDescent="0.2">
      <c r="A116" s="34">
        <v>5</v>
      </c>
      <c r="B116" s="89" t="s">
        <v>57</v>
      </c>
      <c r="C116" s="89"/>
      <c r="D116" s="34" t="s">
        <v>3</v>
      </c>
    </row>
    <row r="117" spans="1:4" x14ac:dyDescent="0.2">
      <c r="A117" s="36" t="s">
        <v>4</v>
      </c>
      <c r="B117" s="33" t="s">
        <v>58</v>
      </c>
      <c r="C117" s="33"/>
      <c r="D117" s="13"/>
    </row>
    <row r="118" spans="1:4" x14ac:dyDescent="0.2">
      <c r="A118" s="36" t="s">
        <v>6</v>
      </c>
      <c r="B118" s="33" t="s">
        <v>59</v>
      </c>
      <c r="C118" s="33"/>
      <c r="D118" s="13"/>
    </row>
    <row r="119" spans="1:4" x14ac:dyDescent="0.2">
      <c r="A119" s="36" t="s">
        <v>8</v>
      </c>
      <c r="B119" s="33" t="s">
        <v>60</v>
      </c>
      <c r="C119" s="33"/>
      <c r="D119" s="13"/>
    </row>
    <row r="120" spans="1:4" x14ac:dyDescent="0.2">
      <c r="A120" s="36" t="s">
        <v>10</v>
      </c>
      <c r="B120" s="33" t="s">
        <v>15</v>
      </c>
      <c r="C120" s="33"/>
      <c r="D120" s="13"/>
    </row>
    <row r="121" spans="1:4" x14ac:dyDescent="0.2">
      <c r="A121" s="76" t="s">
        <v>37</v>
      </c>
      <c r="B121" s="76"/>
      <c r="C121" s="76"/>
      <c r="D121" s="20">
        <f>SUM(D117:D120)</f>
        <v>0</v>
      </c>
    </row>
    <row r="124" spans="1:4" x14ac:dyDescent="0.2">
      <c r="A124" s="79" t="s">
        <v>61</v>
      </c>
      <c r="B124" s="79"/>
      <c r="C124" s="79"/>
      <c r="D124" s="79"/>
    </row>
    <row r="126" spans="1:4" x14ac:dyDescent="0.2">
      <c r="A126" s="34">
        <v>6</v>
      </c>
      <c r="B126" s="35" t="s">
        <v>62</v>
      </c>
      <c r="C126" s="34" t="s">
        <v>26</v>
      </c>
      <c r="D126" s="34" t="s">
        <v>3</v>
      </c>
    </row>
    <row r="127" spans="1:4" x14ac:dyDescent="0.2">
      <c r="A127" s="36" t="s">
        <v>4</v>
      </c>
      <c r="B127" s="33" t="s">
        <v>63</v>
      </c>
      <c r="C127" s="9">
        <v>0.05</v>
      </c>
      <c r="D127" s="14">
        <f>D147*C127</f>
        <v>301.07600000000002</v>
      </c>
    </row>
    <row r="128" spans="1:4" x14ac:dyDescent="0.2">
      <c r="A128" s="36" t="s">
        <v>6</v>
      </c>
      <c r="B128" s="33" t="s">
        <v>64</v>
      </c>
      <c r="C128" s="9">
        <v>0.06</v>
      </c>
      <c r="D128" s="13">
        <f>(D147+D127)*C128</f>
        <v>379.35576000000003</v>
      </c>
    </row>
    <row r="129" spans="1:4" x14ac:dyDescent="0.2">
      <c r="A129" s="36" t="s">
        <v>8</v>
      </c>
      <c r="B129" s="33" t="s">
        <v>65</v>
      </c>
      <c r="C129" s="12">
        <f>SUM(C130:C135)</f>
        <v>8.6499999999999994E-2</v>
      </c>
      <c r="D129" s="13">
        <f>(D147+D127+D128)*C129/(1-C129)</f>
        <v>634.61283770114949</v>
      </c>
    </row>
    <row r="130" spans="1:4" x14ac:dyDescent="0.2">
      <c r="A130" s="36"/>
      <c r="B130" s="33" t="s">
        <v>66</v>
      </c>
      <c r="C130" s="9"/>
      <c r="D130" s="14">
        <f>$D$149*C130</f>
        <v>0</v>
      </c>
    </row>
    <row r="131" spans="1:4" x14ac:dyDescent="0.2">
      <c r="A131" s="36"/>
      <c r="B131" s="33" t="s">
        <v>96</v>
      </c>
      <c r="C131" s="9">
        <v>6.4999999999999997E-3</v>
      </c>
      <c r="D131" s="14">
        <f t="shared" ref="D131:D135" si="3">$D$149*C131</f>
        <v>47.687640000000002</v>
      </c>
    </row>
    <row r="132" spans="1:4" x14ac:dyDescent="0.2">
      <c r="A132" s="36"/>
      <c r="B132" s="33" t="s">
        <v>97</v>
      </c>
      <c r="C132" s="9">
        <v>0.03</v>
      </c>
      <c r="D132" s="14">
        <f t="shared" si="3"/>
        <v>220.0968</v>
      </c>
    </row>
    <row r="133" spans="1:4" x14ac:dyDescent="0.2">
      <c r="A133" s="36"/>
      <c r="B133" s="33" t="s">
        <v>67</v>
      </c>
      <c r="C133" s="36"/>
      <c r="D133" s="14">
        <f t="shared" si="3"/>
        <v>0</v>
      </c>
    </row>
    <row r="134" spans="1:4" x14ac:dyDescent="0.2">
      <c r="A134" s="36"/>
      <c r="B134" s="33" t="s">
        <v>68</v>
      </c>
      <c r="C134" s="9"/>
      <c r="D134" s="14">
        <f t="shared" si="3"/>
        <v>0</v>
      </c>
    </row>
    <row r="135" spans="1:4" x14ac:dyDescent="0.2">
      <c r="A135" s="36"/>
      <c r="B135" s="33" t="s">
        <v>98</v>
      </c>
      <c r="C135" s="9">
        <v>0.05</v>
      </c>
      <c r="D135" s="14">
        <f t="shared" si="3"/>
        <v>366.82800000000003</v>
      </c>
    </row>
    <row r="136" spans="1:4" ht="13.5" x14ac:dyDescent="0.2">
      <c r="A136" s="84" t="s">
        <v>37</v>
      </c>
      <c r="B136" s="85"/>
      <c r="C136" s="21">
        <f>TRUNC((1+C128)*(1+C127)/(1-C129)-1,5)</f>
        <v>0.21839</v>
      </c>
      <c r="D136" s="19">
        <f>SUM(D127:D129)</f>
        <v>1315.0445977011495</v>
      </c>
    </row>
    <row r="139" spans="1:4" x14ac:dyDescent="0.2">
      <c r="A139" s="79" t="s">
        <v>69</v>
      </c>
      <c r="B139" s="79"/>
      <c r="C139" s="79"/>
      <c r="D139" s="79"/>
    </row>
    <row r="141" spans="1:4" x14ac:dyDescent="0.2">
      <c r="A141" s="34"/>
      <c r="B141" s="76" t="s">
        <v>70</v>
      </c>
      <c r="C141" s="76"/>
      <c r="D141" s="34" t="s">
        <v>3</v>
      </c>
    </row>
    <row r="142" spans="1:4" x14ac:dyDescent="0.2">
      <c r="A142" s="34" t="s">
        <v>4</v>
      </c>
      <c r="B142" s="75" t="s">
        <v>1</v>
      </c>
      <c r="C142" s="75"/>
      <c r="D142" s="22">
        <f>D26</f>
        <v>3659.5</v>
      </c>
    </row>
    <row r="143" spans="1:4" x14ac:dyDescent="0.2">
      <c r="A143" s="34" t="s">
        <v>6</v>
      </c>
      <c r="B143" s="75" t="s">
        <v>17</v>
      </c>
      <c r="C143" s="75"/>
      <c r="D143" s="22">
        <f>D69</f>
        <v>2329.09</v>
      </c>
    </row>
    <row r="144" spans="1:4" x14ac:dyDescent="0.2">
      <c r="A144" s="34" t="s">
        <v>8</v>
      </c>
      <c r="B144" s="75" t="s">
        <v>46</v>
      </c>
      <c r="C144" s="75"/>
      <c r="D144" s="22">
        <f>D81</f>
        <v>0</v>
      </c>
    </row>
    <row r="145" spans="1:4" x14ac:dyDescent="0.2">
      <c r="A145" s="34" t="s">
        <v>10</v>
      </c>
      <c r="B145" s="75" t="s">
        <v>51</v>
      </c>
      <c r="C145" s="75"/>
      <c r="D145" s="22">
        <f>D111</f>
        <v>32.93</v>
      </c>
    </row>
    <row r="146" spans="1:4" x14ac:dyDescent="0.2">
      <c r="A146" s="34" t="s">
        <v>12</v>
      </c>
      <c r="B146" s="75" t="s">
        <v>56</v>
      </c>
      <c r="C146" s="75"/>
      <c r="D146" s="22">
        <f>D121</f>
        <v>0</v>
      </c>
    </row>
    <row r="147" spans="1:4" x14ac:dyDescent="0.2">
      <c r="A147" s="76" t="s">
        <v>95</v>
      </c>
      <c r="B147" s="76"/>
      <c r="C147" s="76"/>
      <c r="D147" s="23">
        <f>SUM(D142:D146)</f>
        <v>6021.52</v>
      </c>
    </row>
    <row r="148" spans="1:4" x14ac:dyDescent="0.2">
      <c r="A148" s="34" t="s">
        <v>32</v>
      </c>
      <c r="B148" s="75" t="s">
        <v>71</v>
      </c>
      <c r="C148" s="75"/>
      <c r="D148" s="24">
        <f>D136</f>
        <v>1315.0445977011495</v>
      </c>
    </row>
    <row r="149" spans="1:4" x14ac:dyDescent="0.2">
      <c r="A149" s="76" t="s">
        <v>72</v>
      </c>
      <c r="B149" s="76"/>
      <c r="C149" s="76"/>
      <c r="D149" s="23">
        <f>ROUND(SUM(D147:D148),2)</f>
        <v>7336.56</v>
      </c>
    </row>
  </sheetData>
  <mergeCells count="70"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A136:B136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46:C146"/>
    <mergeCell ref="A147:C147"/>
    <mergeCell ref="B148:C148"/>
    <mergeCell ref="A149:C149"/>
    <mergeCell ref="A139:D139"/>
    <mergeCell ref="B141:C141"/>
    <mergeCell ref="B142:C142"/>
    <mergeCell ref="B143:C143"/>
    <mergeCell ref="B144:C144"/>
    <mergeCell ref="B145:C145"/>
  </mergeCells>
  <pageMargins left="0.511811024" right="0.511811024" top="1.09375" bottom="0.78740157499999996" header="0.31496062000000002" footer="0.31496062000000002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zoomScale="115" zoomScaleNormal="115" workbookViewId="0">
      <selection activeCell="A49" sqref="A4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0" t="s">
        <v>0</v>
      </c>
      <c r="B1" s="80"/>
      <c r="C1" s="80"/>
      <c r="D1" s="80"/>
    </row>
    <row r="2" spans="1:4" ht="15.75" x14ac:dyDescent="0.25">
      <c r="A2" s="26"/>
      <c r="B2" s="26"/>
      <c r="C2" s="26"/>
      <c r="D2" s="26"/>
    </row>
    <row r="3" spans="1:4" x14ac:dyDescent="0.2">
      <c r="A3" s="82" t="s">
        <v>89</v>
      </c>
      <c r="B3" s="82"/>
      <c r="C3" s="82"/>
      <c r="D3" s="82"/>
    </row>
    <row r="4" spans="1:4" x14ac:dyDescent="0.2">
      <c r="A4" s="2"/>
      <c r="B4" s="2"/>
      <c r="C4" s="2"/>
      <c r="D4" s="2"/>
    </row>
    <row r="5" spans="1:4" ht="38.25" x14ac:dyDescent="0.2">
      <c r="A5" s="83" t="s">
        <v>90</v>
      </c>
      <c r="B5" s="83"/>
      <c r="C5" s="36" t="s">
        <v>91</v>
      </c>
      <c r="D5" s="27" t="s">
        <v>92</v>
      </c>
    </row>
    <row r="6" spans="1:4" ht="13.5" x14ac:dyDescent="0.25">
      <c r="A6" s="90" t="s">
        <v>126</v>
      </c>
      <c r="B6" s="90"/>
      <c r="C6" s="37" t="s">
        <v>102</v>
      </c>
      <c r="D6" s="37">
        <v>1</v>
      </c>
    </row>
    <row r="8" spans="1:4" x14ac:dyDescent="0.2">
      <c r="A8" s="82" t="s">
        <v>73</v>
      </c>
      <c r="B8" s="82"/>
      <c r="C8" s="82"/>
      <c r="D8" s="82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74</v>
      </c>
      <c r="C10" s="91" t="s">
        <v>109</v>
      </c>
      <c r="D10" s="92"/>
    </row>
    <row r="11" spans="1:4" x14ac:dyDescent="0.2">
      <c r="A11" s="5">
        <v>2</v>
      </c>
      <c r="B11" s="5" t="s">
        <v>93</v>
      </c>
      <c r="C11" s="91" t="s">
        <v>110</v>
      </c>
      <c r="D11" s="92"/>
    </row>
    <row r="12" spans="1:4" x14ac:dyDescent="0.2">
      <c r="A12" s="5">
        <v>3</v>
      </c>
      <c r="B12" s="5" t="s">
        <v>75</v>
      </c>
      <c r="C12" s="91"/>
      <c r="D12" s="92"/>
    </row>
    <row r="13" spans="1:4" x14ac:dyDescent="0.2">
      <c r="A13" s="5">
        <v>4</v>
      </c>
      <c r="B13" s="5" t="s">
        <v>76</v>
      </c>
      <c r="C13" s="91"/>
      <c r="D13" s="92"/>
    </row>
    <row r="14" spans="1:4" x14ac:dyDescent="0.2">
      <c r="A14" s="5">
        <v>5</v>
      </c>
      <c r="B14" s="5" t="s">
        <v>77</v>
      </c>
      <c r="C14" s="91"/>
      <c r="D14" s="92"/>
    </row>
    <row r="16" spans="1:4" x14ac:dyDescent="0.2">
      <c r="A16" s="82" t="s">
        <v>1</v>
      </c>
      <c r="B16" s="82"/>
      <c r="C16" s="82"/>
      <c r="D16" s="82"/>
    </row>
    <row r="18" spans="1:4" x14ac:dyDescent="0.2">
      <c r="A18" s="34">
        <v>1</v>
      </c>
      <c r="B18" s="76" t="s">
        <v>2</v>
      </c>
      <c r="C18" s="76"/>
      <c r="D18" s="34" t="s">
        <v>3</v>
      </c>
    </row>
    <row r="19" spans="1:4" x14ac:dyDescent="0.2">
      <c r="A19" s="36" t="s">
        <v>4</v>
      </c>
      <c r="B19" s="75" t="s">
        <v>5</v>
      </c>
      <c r="C19" s="75"/>
      <c r="D19" s="13">
        <v>2784.52</v>
      </c>
    </row>
    <row r="20" spans="1:4" x14ac:dyDescent="0.2">
      <c r="A20" s="36" t="s">
        <v>6</v>
      </c>
      <c r="B20" s="75" t="s">
        <v>7</v>
      </c>
      <c r="C20" s="75"/>
      <c r="D20" s="13"/>
    </row>
    <row r="21" spans="1:4" x14ac:dyDescent="0.2">
      <c r="A21" s="36" t="s">
        <v>8</v>
      </c>
      <c r="B21" s="75" t="s">
        <v>9</v>
      </c>
      <c r="C21" s="75"/>
      <c r="D21" s="13"/>
    </row>
    <row r="22" spans="1:4" x14ac:dyDescent="0.2">
      <c r="A22" s="36" t="s">
        <v>10</v>
      </c>
      <c r="B22" s="75" t="s">
        <v>11</v>
      </c>
      <c r="C22" s="75"/>
      <c r="D22" s="13"/>
    </row>
    <row r="23" spans="1:4" x14ac:dyDescent="0.2">
      <c r="A23" s="36" t="s">
        <v>12</v>
      </c>
      <c r="B23" s="75" t="s">
        <v>13</v>
      </c>
      <c r="C23" s="75"/>
      <c r="D23" s="13"/>
    </row>
    <row r="24" spans="1:4" x14ac:dyDescent="0.2">
      <c r="A24" s="36"/>
      <c r="B24" s="75"/>
      <c r="C24" s="75"/>
      <c r="D24" s="13"/>
    </row>
    <row r="25" spans="1:4" x14ac:dyDescent="0.2">
      <c r="A25" s="36" t="s">
        <v>14</v>
      </c>
      <c r="B25" s="75" t="s">
        <v>15</v>
      </c>
      <c r="C25" s="75"/>
      <c r="D25" s="13"/>
    </row>
    <row r="26" spans="1:4" x14ac:dyDescent="0.2">
      <c r="A26" s="76" t="s">
        <v>16</v>
      </c>
      <c r="B26" s="76"/>
      <c r="C26" s="76"/>
      <c r="D26" s="20">
        <f>SUM(D19:D25)</f>
        <v>2784.52</v>
      </c>
    </row>
    <row r="29" spans="1:4" x14ac:dyDescent="0.2">
      <c r="A29" s="79" t="s">
        <v>17</v>
      </c>
      <c r="B29" s="79"/>
      <c r="C29" s="79"/>
      <c r="D29" s="79"/>
    </row>
    <row r="30" spans="1:4" x14ac:dyDescent="0.2">
      <c r="A30" s="3"/>
    </row>
    <row r="31" spans="1:4" x14ac:dyDescent="0.2">
      <c r="A31" s="77" t="s">
        <v>18</v>
      </c>
      <c r="B31" s="77"/>
      <c r="C31" s="77"/>
      <c r="D31" s="77"/>
    </row>
    <row r="33" spans="1:4" x14ac:dyDescent="0.2">
      <c r="A33" s="34" t="s">
        <v>19</v>
      </c>
      <c r="B33" s="76" t="s">
        <v>20</v>
      </c>
      <c r="C33" s="76"/>
      <c r="D33" s="34" t="s">
        <v>3</v>
      </c>
    </row>
    <row r="34" spans="1:4" x14ac:dyDescent="0.2">
      <c r="A34" s="36" t="s">
        <v>4</v>
      </c>
      <c r="B34" s="33" t="s">
        <v>21</v>
      </c>
      <c r="C34" s="12">
        <f>TRUNC(1/12,4)</f>
        <v>8.3299999999999999E-2</v>
      </c>
      <c r="D34" s="13">
        <f>TRUNC($D$26*C34,2)</f>
        <v>231.95</v>
      </c>
    </row>
    <row r="35" spans="1:4" x14ac:dyDescent="0.2">
      <c r="A35" s="36" t="s">
        <v>6</v>
      </c>
      <c r="B35" s="33" t="s">
        <v>22</v>
      </c>
      <c r="C35" s="12">
        <f>TRUNC(((1+1/3)/12),4)</f>
        <v>0.1111</v>
      </c>
      <c r="D35" s="13">
        <f>TRUNC($D$26*C35,2)</f>
        <v>309.36</v>
      </c>
    </row>
    <row r="36" spans="1:4" x14ac:dyDescent="0.2">
      <c r="A36" s="76" t="s">
        <v>16</v>
      </c>
      <c r="B36" s="76"/>
      <c r="C36" s="28">
        <f>TRUNC(SUM(C34:C35),5)</f>
        <v>0.19439999999999999</v>
      </c>
      <c r="D36" s="19">
        <f>SUM(D34:D35)</f>
        <v>541.30999999999995</v>
      </c>
    </row>
    <row r="39" spans="1:4" x14ac:dyDescent="0.2">
      <c r="A39" s="81" t="s">
        <v>23</v>
      </c>
      <c r="B39" s="81"/>
      <c r="C39" s="81"/>
      <c r="D39" s="81"/>
    </row>
    <row r="41" spans="1:4" x14ac:dyDescent="0.2">
      <c r="A41" s="34" t="s">
        <v>24</v>
      </c>
      <c r="B41" s="34" t="s">
        <v>25</v>
      </c>
      <c r="C41" s="34" t="s">
        <v>26</v>
      </c>
      <c r="D41" s="34" t="s">
        <v>3</v>
      </c>
    </row>
    <row r="42" spans="1:4" x14ac:dyDescent="0.2">
      <c r="A42" s="36" t="s">
        <v>4</v>
      </c>
      <c r="B42" s="33" t="s">
        <v>27</v>
      </c>
      <c r="C42" s="9">
        <v>0.2</v>
      </c>
      <c r="D42" s="13">
        <f>TRUNC(($D$26+$D$36)*C42,2)</f>
        <v>665.16</v>
      </c>
    </row>
    <row r="43" spans="1:4" x14ac:dyDescent="0.2">
      <c r="A43" s="36" t="s">
        <v>6</v>
      </c>
      <c r="B43" s="33" t="s">
        <v>28</v>
      </c>
      <c r="C43" s="9">
        <v>2.5000000000000001E-2</v>
      </c>
      <c r="D43" s="13">
        <f t="shared" ref="D43:D49" si="0">TRUNC(($D$26+$D$36)*C43,2)</f>
        <v>83.14</v>
      </c>
    </row>
    <row r="44" spans="1:4" x14ac:dyDescent="0.2">
      <c r="A44" s="36" t="s">
        <v>8</v>
      </c>
      <c r="B44" s="33" t="s">
        <v>29</v>
      </c>
      <c r="C44" s="16">
        <v>0.03</v>
      </c>
      <c r="D44" s="13">
        <f t="shared" si="0"/>
        <v>99.77</v>
      </c>
    </row>
    <row r="45" spans="1:4" x14ac:dyDescent="0.2">
      <c r="A45" s="36" t="s">
        <v>10</v>
      </c>
      <c r="B45" s="33" t="s">
        <v>30</v>
      </c>
      <c r="C45" s="9">
        <v>1.4999999999999999E-2</v>
      </c>
      <c r="D45" s="13">
        <f t="shared" si="0"/>
        <v>49.88</v>
      </c>
    </row>
    <row r="46" spans="1:4" x14ac:dyDescent="0.2">
      <c r="A46" s="36" t="s">
        <v>12</v>
      </c>
      <c r="B46" s="33" t="s">
        <v>31</v>
      </c>
      <c r="C46" s="9">
        <v>0.01</v>
      </c>
      <c r="D46" s="13">
        <f t="shared" si="0"/>
        <v>33.25</v>
      </c>
    </row>
    <row r="47" spans="1:4" x14ac:dyDescent="0.2">
      <c r="A47" s="36" t="s">
        <v>32</v>
      </c>
      <c r="B47" s="33" t="s">
        <v>33</v>
      </c>
      <c r="C47" s="9">
        <v>6.0000000000000001E-3</v>
      </c>
      <c r="D47" s="13">
        <f t="shared" si="0"/>
        <v>19.95</v>
      </c>
    </row>
    <row r="48" spans="1:4" x14ac:dyDescent="0.2">
      <c r="A48" s="36" t="s">
        <v>14</v>
      </c>
      <c r="B48" s="33" t="s">
        <v>34</v>
      </c>
      <c r="C48" s="9">
        <v>2E-3</v>
      </c>
      <c r="D48" s="13">
        <f t="shared" si="0"/>
        <v>6.65</v>
      </c>
    </row>
    <row r="49" spans="1:4" x14ac:dyDescent="0.2">
      <c r="A49" s="36" t="s">
        <v>35</v>
      </c>
      <c r="B49" s="33" t="s">
        <v>36</v>
      </c>
      <c r="C49" s="9">
        <v>0.08</v>
      </c>
      <c r="D49" s="13">
        <f t="shared" si="0"/>
        <v>266.06</v>
      </c>
    </row>
    <row r="50" spans="1:4" x14ac:dyDescent="0.2">
      <c r="A50" s="76" t="s">
        <v>37</v>
      </c>
      <c r="B50" s="76"/>
      <c r="C50" s="15">
        <f>SUM(C42:C49)</f>
        <v>0.36800000000000005</v>
      </c>
      <c r="D50" s="19">
        <f>SUM(D42:D49)</f>
        <v>1223.8599999999999</v>
      </c>
    </row>
    <row r="53" spans="1:4" x14ac:dyDescent="0.2">
      <c r="A53" s="77" t="s">
        <v>38</v>
      </c>
      <c r="B53" s="77"/>
      <c r="C53" s="77"/>
      <c r="D53" s="77"/>
    </row>
    <row r="55" spans="1:4" x14ac:dyDescent="0.2">
      <c r="A55" s="34" t="s">
        <v>39</v>
      </c>
      <c r="B55" s="78" t="s">
        <v>40</v>
      </c>
      <c r="C55" s="78"/>
      <c r="D55" s="34" t="s">
        <v>3</v>
      </c>
    </row>
    <row r="56" spans="1:4" x14ac:dyDescent="0.2">
      <c r="A56" s="36" t="s">
        <v>4</v>
      </c>
      <c r="B56" s="75" t="s">
        <v>41</v>
      </c>
      <c r="C56" s="75"/>
      <c r="D56" s="13">
        <f>IF((22*2*5.2)-(D19*0.06)&gt;0,(22*2*5.2)-(D19*0.06),0)</f>
        <v>61.728800000000007</v>
      </c>
    </row>
    <row r="57" spans="1:4" x14ac:dyDescent="0.2">
      <c r="A57" s="36" t="s">
        <v>6</v>
      </c>
      <c r="B57" s="75" t="s">
        <v>42</v>
      </c>
      <c r="C57" s="75"/>
      <c r="D57" s="13"/>
    </row>
    <row r="58" spans="1:4" x14ac:dyDescent="0.2">
      <c r="A58" s="36" t="s">
        <v>8</v>
      </c>
      <c r="B58" s="75" t="s">
        <v>43</v>
      </c>
      <c r="C58" s="75"/>
      <c r="D58" s="13"/>
    </row>
    <row r="59" spans="1:4" x14ac:dyDescent="0.2">
      <c r="A59" s="36" t="s">
        <v>10</v>
      </c>
      <c r="B59" s="75" t="s">
        <v>15</v>
      </c>
      <c r="C59" s="75"/>
      <c r="D59" s="13"/>
    </row>
    <row r="60" spans="1:4" x14ac:dyDescent="0.2">
      <c r="A60" s="76" t="s">
        <v>16</v>
      </c>
      <c r="B60" s="76"/>
      <c r="C60" s="76"/>
      <c r="D60" s="19">
        <f>SUM(D56:D59)</f>
        <v>61.728800000000007</v>
      </c>
    </row>
    <row r="63" spans="1:4" x14ac:dyDescent="0.2">
      <c r="A63" s="77" t="s">
        <v>44</v>
      </c>
      <c r="B63" s="77"/>
      <c r="C63" s="77"/>
      <c r="D63" s="77"/>
    </row>
    <row r="65" spans="1:5" x14ac:dyDescent="0.2">
      <c r="A65" s="34">
        <v>2</v>
      </c>
      <c r="B65" s="78" t="s">
        <v>45</v>
      </c>
      <c r="C65" s="78"/>
      <c r="D65" s="34" t="s">
        <v>3</v>
      </c>
    </row>
    <row r="66" spans="1:5" x14ac:dyDescent="0.2">
      <c r="A66" s="36" t="s">
        <v>19</v>
      </c>
      <c r="B66" s="75" t="s">
        <v>20</v>
      </c>
      <c r="C66" s="75"/>
      <c r="D66" s="14">
        <f>D36</f>
        <v>541.30999999999995</v>
      </c>
    </row>
    <row r="67" spans="1:5" x14ac:dyDescent="0.2">
      <c r="A67" s="36" t="s">
        <v>24</v>
      </c>
      <c r="B67" s="75" t="s">
        <v>25</v>
      </c>
      <c r="C67" s="75"/>
      <c r="D67" s="14">
        <f>D50</f>
        <v>1223.8599999999999</v>
      </c>
    </row>
    <row r="68" spans="1:5" x14ac:dyDescent="0.2">
      <c r="A68" s="36" t="s">
        <v>39</v>
      </c>
      <c r="B68" s="75" t="s">
        <v>40</v>
      </c>
      <c r="C68" s="75"/>
      <c r="D68" s="14">
        <f>D60</f>
        <v>61.728800000000007</v>
      </c>
    </row>
    <row r="69" spans="1:5" x14ac:dyDescent="0.2">
      <c r="A69" s="76" t="s">
        <v>16</v>
      </c>
      <c r="B69" s="76"/>
      <c r="C69" s="76"/>
      <c r="D69" s="19">
        <f>SUM(D66:D68)</f>
        <v>1826.8987999999999</v>
      </c>
    </row>
    <row r="70" spans="1:5" x14ac:dyDescent="0.2">
      <c r="A70" s="4"/>
      <c r="E70" s="18"/>
    </row>
    <row r="72" spans="1:5" x14ac:dyDescent="0.2">
      <c r="A72" s="79" t="s">
        <v>46</v>
      </c>
      <c r="B72" s="79"/>
      <c r="C72" s="79"/>
      <c r="D72" s="79"/>
      <c r="E72" s="17"/>
    </row>
    <row r="73" spans="1:5" ht="12.75" customHeight="1" x14ac:dyDescent="0.2">
      <c r="E73" s="18"/>
    </row>
    <row r="74" spans="1:5" x14ac:dyDescent="0.2">
      <c r="A74" s="34">
        <v>3</v>
      </c>
      <c r="B74" s="78" t="s">
        <v>47</v>
      </c>
      <c r="C74" s="78"/>
      <c r="D74" s="34" t="s">
        <v>3</v>
      </c>
    </row>
    <row r="75" spans="1:5" x14ac:dyDescent="0.2">
      <c r="A75" s="36" t="s">
        <v>4</v>
      </c>
      <c r="B75" s="10" t="s">
        <v>48</v>
      </c>
      <c r="C75" s="9">
        <f>TRUNC(((1/12)*0%),4)</f>
        <v>0</v>
      </c>
      <c r="D75" s="13">
        <f>TRUNC($D$26*C75,2)</f>
        <v>0</v>
      </c>
    </row>
    <row r="76" spans="1:5" x14ac:dyDescent="0.2">
      <c r="A76" s="36" t="s">
        <v>6</v>
      </c>
      <c r="B76" s="10" t="s">
        <v>49</v>
      </c>
      <c r="C76" s="9">
        <v>0.08</v>
      </c>
      <c r="D76" s="13">
        <f>TRUNC(D75*C76,2)</f>
        <v>0</v>
      </c>
    </row>
    <row r="77" spans="1:5" x14ac:dyDescent="0.2">
      <c r="A77" s="36" t="s">
        <v>8</v>
      </c>
      <c r="B77" s="10" t="s">
        <v>99</v>
      </c>
      <c r="C77" s="9">
        <f>TRUNC(8%*0%*40%,4)</f>
        <v>0</v>
      </c>
      <c r="D77" s="13">
        <f>TRUNC($D$26*C77,2)</f>
        <v>0</v>
      </c>
    </row>
    <row r="78" spans="1:5" x14ac:dyDescent="0.2">
      <c r="A78" s="36" t="s">
        <v>10</v>
      </c>
      <c r="B78" s="10" t="s">
        <v>50</v>
      </c>
      <c r="C78" s="9">
        <f>TRUNC(((7/30)/12)*0%,4)</f>
        <v>0</v>
      </c>
      <c r="D78" s="13">
        <f>TRUNC($D$26*C78,2)</f>
        <v>0</v>
      </c>
    </row>
    <row r="79" spans="1:5" ht="25.5" x14ac:dyDescent="0.2">
      <c r="A79" s="36" t="s">
        <v>12</v>
      </c>
      <c r="B79" s="10" t="s">
        <v>94</v>
      </c>
      <c r="C79" s="9">
        <f>C50</f>
        <v>0.36800000000000005</v>
      </c>
      <c r="D79" s="13">
        <f>TRUNC(D78*C79,2)</f>
        <v>0</v>
      </c>
    </row>
    <row r="80" spans="1:5" x14ac:dyDescent="0.2">
      <c r="A80" s="36" t="s">
        <v>32</v>
      </c>
      <c r="B80" s="10" t="s">
        <v>100</v>
      </c>
      <c r="C80" s="9">
        <f>TRUNC(8%*0%*40%,4)</f>
        <v>0</v>
      </c>
      <c r="D80" s="13">
        <f t="shared" ref="D80" si="1">TRUNC($D$26*C80,2)</f>
        <v>0</v>
      </c>
    </row>
    <row r="81" spans="1:6" x14ac:dyDescent="0.2">
      <c r="A81" s="84" t="s">
        <v>16</v>
      </c>
      <c r="B81" s="85"/>
      <c r="C81" s="86"/>
      <c r="D81" s="19">
        <f>SUM(D75:D80)</f>
        <v>0</v>
      </c>
    </row>
    <row r="84" spans="1:6" x14ac:dyDescent="0.2">
      <c r="A84" s="79" t="s">
        <v>51</v>
      </c>
      <c r="B84" s="79"/>
      <c r="C84" s="79"/>
      <c r="D84" s="79"/>
    </row>
    <row r="87" spans="1:6" x14ac:dyDescent="0.2">
      <c r="A87" s="77" t="s">
        <v>78</v>
      </c>
      <c r="B87" s="77"/>
      <c r="C87" s="77"/>
      <c r="D87" s="77"/>
    </row>
    <row r="88" spans="1:6" x14ac:dyDescent="0.2">
      <c r="A88" s="3"/>
    </row>
    <row r="89" spans="1:6" x14ac:dyDescent="0.2">
      <c r="A89" s="34" t="s">
        <v>52</v>
      </c>
      <c r="B89" s="78" t="s">
        <v>79</v>
      </c>
      <c r="C89" s="78"/>
      <c r="D89" s="34" t="s">
        <v>3</v>
      </c>
    </row>
    <row r="90" spans="1:6" x14ac:dyDescent="0.2">
      <c r="A90" s="36" t="s">
        <v>4</v>
      </c>
      <c r="B90" s="33" t="s">
        <v>80</v>
      </c>
      <c r="C90" s="9">
        <f>TRUNC(((1+1/3)/12)/12,4)*0</f>
        <v>0</v>
      </c>
      <c r="D90" s="13">
        <f>TRUNC(($D$26+$D$69+$D$81)*C90,2)</f>
        <v>0</v>
      </c>
    </row>
    <row r="91" spans="1:6" x14ac:dyDescent="0.2">
      <c r="A91" s="36" t="s">
        <v>6</v>
      </c>
      <c r="B91" s="33" t="s">
        <v>81</v>
      </c>
      <c r="C91" s="9">
        <f>TRUNC(((2/30)/12),4)</f>
        <v>5.4999999999999997E-3</v>
      </c>
      <c r="D91" s="13">
        <f t="shared" ref="D91:D95" si="2">TRUNC(($D$26+$D$69+$D$81)*C91,2)</f>
        <v>25.36</v>
      </c>
    </row>
    <row r="92" spans="1:6" x14ac:dyDescent="0.2">
      <c r="A92" s="36" t="s">
        <v>8</v>
      </c>
      <c r="B92" s="33" t="s">
        <v>82</v>
      </c>
      <c r="C92" s="9">
        <f>TRUNC(((5/30)/12)*2%,4)*0</f>
        <v>0</v>
      </c>
      <c r="D92" s="13">
        <f t="shared" si="2"/>
        <v>0</v>
      </c>
    </row>
    <row r="93" spans="1:6" x14ac:dyDescent="0.2">
      <c r="A93" s="36" t="s">
        <v>10</v>
      </c>
      <c r="B93" s="33" t="s">
        <v>83</v>
      </c>
      <c r="C93" s="9">
        <f>TRUNC(((15/30)/12)*8%,4)*0</f>
        <v>0</v>
      </c>
      <c r="D93" s="13">
        <f t="shared" si="2"/>
        <v>0</v>
      </c>
    </row>
    <row r="94" spans="1:6" x14ac:dyDescent="0.2">
      <c r="A94" s="36" t="s">
        <v>12</v>
      </c>
      <c r="B94" s="33" t="s">
        <v>84</v>
      </c>
      <c r="C94" s="9">
        <f>((1+1/3)/12)*3%*(4/12)*0</f>
        <v>0</v>
      </c>
      <c r="D94" s="13">
        <f t="shared" si="2"/>
        <v>0</v>
      </c>
    </row>
    <row r="95" spans="1:6" x14ac:dyDescent="0.2">
      <c r="A95" s="36" t="s">
        <v>32</v>
      </c>
      <c r="B95" s="33" t="s">
        <v>85</v>
      </c>
      <c r="C95" s="9"/>
      <c r="D95" s="13">
        <f t="shared" si="2"/>
        <v>0</v>
      </c>
    </row>
    <row r="96" spans="1:6" x14ac:dyDescent="0.2">
      <c r="A96" s="76" t="s">
        <v>37</v>
      </c>
      <c r="B96" s="76"/>
      <c r="C96" s="76"/>
      <c r="D96" s="19">
        <f>SUM(D90:D95)</f>
        <v>25.36</v>
      </c>
      <c r="E96" s="17"/>
      <c r="F96" s="17"/>
    </row>
    <row r="99" spans="1:4" x14ac:dyDescent="0.2">
      <c r="A99" s="77" t="s">
        <v>86</v>
      </c>
      <c r="B99" s="77"/>
      <c r="C99" s="77"/>
      <c r="D99" s="77"/>
    </row>
    <row r="100" spans="1:4" x14ac:dyDescent="0.2">
      <c r="A100" s="3"/>
    </row>
    <row r="101" spans="1:4" x14ac:dyDescent="0.2">
      <c r="A101" s="34" t="s">
        <v>53</v>
      </c>
      <c r="B101" s="78" t="s">
        <v>87</v>
      </c>
      <c r="C101" s="78"/>
      <c r="D101" s="34" t="s">
        <v>3</v>
      </c>
    </row>
    <row r="102" spans="1:4" x14ac:dyDescent="0.2">
      <c r="A102" s="36" t="s">
        <v>4</v>
      </c>
      <c r="B102" s="87" t="s">
        <v>88</v>
      </c>
      <c r="C102" s="88"/>
      <c r="D102" s="13">
        <f>((D26+D69+D81)/220)*22*0</f>
        <v>0</v>
      </c>
    </row>
    <row r="103" spans="1:4" x14ac:dyDescent="0.2">
      <c r="A103" s="76" t="s">
        <v>16</v>
      </c>
      <c r="B103" s="76"/>
      <c r="C103" s="76"/>
      <c r="D103" s="19">
        <f>SUM(D102)</f>
        <v>0</v>
      </c>
    </row>
    <row r="106" spans="1:4" x14ac:dyDescent="0.2">
      <c r="A106" s="77" t="s">
        <v>54</v>
      </c>
      <c r="B106" s="77"/>
      <c r="C106" s="77"/>
      <c r="D106" s="77"/>
    </row>
    <row r="107" spans="1:4" x14ac:dyDescent="0.2">
      <c r="A107" s="3"/>
    </row>
    <row r="108" spans="1:4" x14ac:dyDescent="0.2">
      <c r="A108" s="34">
        <v>4</v>
      </c>
      <c r="B108" s="76" t="s">
        <v>55</v>
      </c>
      <c r="C108" s="76"/>
      <c r="D108" s="34" t="s">
        <v>3</v>
      </c>
    </row>
    <row r="109" spans="1:4" x14ac:dyDescent="0.2">
      <c r="A109" s="36" t="s">
        <v>52</v>
      </c>
      <c r="B109" s="75" t="s">
        <v>79</v>
      </c>
      <c r="C109" s="75"/>
      <c r="D109" s="14">
        <f>D96</f>
        <v>25.36</v>
      </c>
    </row>
    <row r="110" spans="1:4" x14ac:dyDescent="0.2">
      <c r="A110" s="36" t="s">
        <v>53</v>
      </c>
      <c r="B110" s="75" t="s">
        <v>87</v>
      </c>
      <c r="C110" s="75"/>
      <c r="D110" s="14">
        <f>D103</f>
        <v>0</v>
      </c>
    </row>
    <row r="111" spans="1:4" x14ac:dyDescent="0.2">
      <c r="A111" s="76" t="s">
        <v>16</v>
      </c>
      <c r="B111" s="76"/>
      <c r="C111" s="76"/>
      <c r="D111" s="19">
        <f>SUM(D109:D110)</f>
        <v>25.36</v>
      </c>
    </row>
    <row r="114" spans="1:4" x14ac:dyDescent="0.2">
      <c r="A114" s="79" t="s">
        <v>56</v>
      </c>
      <c r="B114" s="79"/>
      <c r="C114" s="79"/>
      <c r="D114" s="79"/>
    </row>
    <row r="116" spans="1:4" x14ac:dyDescent="0.2">
      <c r="A116" s="34">
        <v>5</v>
      </c>
      <c r="B116" s="89" t="s">
        <v>57</v>
      </c>
      <c r="C116" s="89"/>
      <c r="D116" s="34" t="s">
        <v>3</v>
      </c>
    </row>
    <row r="117" spans="1:4" x14ac:dyDescent="0.2">
      <c r="A117" s="36" t="s">
        <v>4</v>
      </c>
      <c r="B117" s="33" t="s">
        <v>58</v>
      </c>
      <c r="C117" s="33"/>
      <c r="D117" s="13"/>
    </row>
    <row r="118" spans="1:4" x14ac:dyDescent="0.2">
      <c r="A118" s="36" t="s">
        <v>6</v>
      </c>
      <c r="B118" s="33" t="s">
        <v>59</v>
      </c>
      <c r="C118" s="33"/>
      <c r="D118" s="13"/>
    </row>
    <row r="119" spans="1:4" x14ac:dyDescent="0.2">
      <c r="A119" s="36" t="s">
        <v>8</v>
      </c>
      <c r="B119" s="33" t="s">
        <v>60</v>
      </c>
      <c r="C119" s="33"/>
      <c r="D119" s="13"/>
    </row>
    <row r="120" spans="1:4" x14ac:dyDescent="0.2">
      <c r="A120" s="36" t="s">
        <v>10</v>
      </c>
      <c r="B120" s="33" t="s">
        <v>15</v>
      </c>
      <c r="C120" s="33"/>
      <c r="D120" s="13"/>
    </row>
    <row r="121" spans="1:4" x14ac:dyDescent="0.2">
      <c r="A121" s="76" t="s">
        <v>37</v>
      </c>
      <c r="B121" s="76"/>
      <c r="C121" s="76"/>
      <c r="D121" s="20">
        <f>SUM(D117:D120)</f>
        <v>0</v>
      </c>
    </row>
    <row r="124" spans="1:4" x14ac:dyDescent="0.2">
      <c r="A124" s="79" t="s">
        <v>61</v>
      </c>
      <c r="B124" s="79"/>
      <c r="C124" s="79"/>
      <c r="D124" s="79"/>
    </row>
    <row r="126" spans="1:4" x14ac:dyDescent="0.2">
      <c r="A126" s="34">
        <v>6</v>
      </c>
      <c r="B126" s="35" t="s">
        <v>62</v>
      </c>
      <c r="C126" s="34" t="s">
        <v>26</v>
      </c>
      <c r="D126" s="34" t="s">
        <v>3</v>
      </c>
    </row>
    <row r="127" spans="1:4" x14ac:dyDescent="0.2">
      <c r="A127" s="36" t="s">
        <v>4</v>
      </c>
      <c r="B127" s="33" t="s">
        <v>63</v>
      </c>
      <c r="C127" s="9">
        <v>0.05</v>
      </c>
      <c r="D127" s="14">
        <f>D147*C127</f>
        <v>231.83893999999998</v>
      </c>
    </row>
    <row r="128" spans="1:4" x14ac:dyDescent="0.2">
      <c r="A128" s="36" t="s">
        <v>6</v>
      </c>
      <c r="B128" s="33" t="s">
        <v>64</v>
      </c>
      <c r="C128" s="9">
        <v>0.06</v>
      </c>
      <c r="D128" s="13">
        <f>(D147+D127)*C128</f>
        <v>292.11706439999989</v>
      </c>
    </row>
    <row r="129" spans="1:4" x14ac:dyDescent="0.2">
      <c r="A129" s="36" t="s">
        <v>8</v>
      </c>
      <c r="B129" s="33" t="s">
        <v>65</v>
      </c>
      <c r="C129" s="12">
        <f>SUM(C130:C135)</f>
        <v>8.6499999999999994E-2</v>
      </c>
      <c r="D129" s="13">
        <f>(D147+D127+D128)*C129/(1-C129)</f>
        <v>488.67384847356311</v>
      </c>
    </row>
    <row r="130" spans="1:4" x14ac:dyDescent="0.2">
      <c r="A130" s="36"/>
      <c r="B130" s="33" t="s">
        <v>66</v>
      </c>
      <c r="C130" s="9"/>
      <c r="D130" s="14">
        <f>$D$149*C130</f>
        <v>0</v>
      </c>
    </row>
    <row r="131" spans="1:4" x14ac:dyDescent="0.2">
      <c r="A131" s="36"/>
      <c r="B131" s="33" t="s">
        <v>96</v>
      </c>
      <c r="C131" s="9">
        <v>6.4999999999999997E-3</v>
      </c>
      <c r="D131" s="14">
        <f t="shared" ref="D131:D135" si="3">$D$149*C131</f>
        <v>36.721164999999999</v>
      </c>
    </row>
    <row r="132" spans="1:4" x14ac:dyDescent="0.2">
      <c r="A132" s="36"/>
      <c r="B132" s="33" t="s">
        <v>97</v>
      </c>
      <c r="C132" s="9">
        <v>0.03</v>
      </c>
      <c r="D132" s="14">
        <f t="shared" si="3"/>
        <v>169.48229999999998</v>
      </c>
    </row>
    <row r="133" spans="1:4" x14ac:dyDescent="0.2">
      <c r="A133" s="36"/>
      <c r="B133" s="33" t="s">
        <v>67</v>
      </c>
      <c r="C133" s="36"/>
      <c r="D133" s="14">
        <f t="shared" si="3"/>
        <v>0</v>
      </c>
    </row>
    <row r="134" spans="1:4" x14ac:dyDescent="0.2">
      <c r="A134" s="36"/>
      <c r="B134" s="33" t="s">
        <v>68</v>
      </c>
      <c r="C134" s="9"/>
      <c r="D134" s="14">
        <f t="shared" si="3"/>
        <v>0</v>
      </c>
    </row>
    <row r="135" spans="1:4" x14ac:dyDescent="0.2">
      <c r="A135" s="36"/>
      <c r="B135" s="33" t="s">
        <v>98</v>
      </c>
      <c r="C135" s="9">
        <v>0.05</v>
      </c>
      <c r="D135" s="14">
        <f t="shared" si="3"/>
        <v>282.47050000000002</v>
      </c>
    </row>
    <row r="136" spans="1:4" ht="13.5" x14ac:dyDescent="0.2">
      <c r="A136" s="84" t="s">
        <v>37</v>
      </c>
      <c r="B136" s="85"/>
      <c r="C136" s="21">
        <f>TRUNC((1+C128)*(1+C127)/(1-C129)-1,5)</f>
        <v>0.21839</v>
      </c>
      <c r="D136" s="19">
        <f>SUM(D127:D129)</f>
        <v>1012.629852873563</v>
      </c>
    </row>
    <row r="139" spans="1:4" x14ac:dyDescent="0.2">
      <c r="A139" s="79" t="s">
        <v>69</v>
      </c>
      <c r="B139" s="79"/>
      <c r="C139" s="79"/>
      <c r="D139" s="79"/>
    </row>
    <row r="141" spans="1:4" x14ac:dyDescent="0.2">
      <c r="A141" s="34"/>
      <c r="B141" s="76" t="s">
        <v>70</v>
      </c>
      <c r="C141" s="76"/>
      <c r="D141" s="34" t="s">
        <v>3</v>
      </c>
    </row>
    <row r="142" spans="1:4" x14ac:dyDescent="0.2">
      <c r="A142" s="34" t="s">
        <v>4</v>
      </c>
      <c r="B142" s="75" t="s">
        <v>1</v>
      </c>
      <c r="C142" s="75"/>
      <c r="D142" s="22">
        <f>D26</f>
        <v>2784.52</v>
      </c>
    </row>
    <row r="143" spans="1:4" x14ac:dyDescent="0.2">
      <c r="A143" s="34" t="s">
        <v>6</v>
      </c>
      <c r="B143" s="75" t="s">
        <v>17</v>
      </c>
      <c r="C143" s="75"/>
      <c r="D143" s="22">
        <f>D69</f>
        <v>1826.8987999999999</v>
      </c>
    </row>
    <row r="144" spans="1:4" x14ac:dyDescent="0.2">
      <c r="A144" s="34" t="s">
        <v>8</v>
      </c>
      <c r="B144" s="75" t="s">
        <v>46</v>
      </c>
      <c r="C144" s="75"/>
      <c r="D144" s="22">
        <f>D81</f>
        <v>0</v>
      </c>
    </row>
    <row r="145" spans="1:4" x14ac:dyDescent="0.2">
      <c r="A145" s="34" t="s">
        <v>10</v>
      </c>
      <c r="B145" s="75" t="s">
        <v>51</v>
      </c>
      <c r="C145" s="75"/>
      <c r="D145" s="22">
        <f>D111</f>
        <v>25.36</v>
      </c>
    </row>
    <row r="146" spans="1:4" x14ac:dyDescent="0.2">
      <c r="A146" s="34" t="s">
        <v>12</v>
      </c>
      <c r="B146" s="75" t="s">
        <v>56</v>
      </c>
      <c r="C146" s="75"/>
      <c r="D146" s="22">
        <f>D121</f>
        <v>0</v>
      </c>
    </row>
    <row r="147" spans="1:4" x14ac:dyDescent="0.2">
      <c r="A147" s="76" t="s">
        <v>95</v>
      </c>
      <c r="B147" s="76"/>
      <c r="C147" s="76"/>
      <c r="D147" s="23">
        <f>SUM(D142:D146)</f>
        <v>4636.7787999999991</v>
      </c>
    </row>
    <row r="148" spans="1:4" x14ac:dyDescent="0.2">
      <c r="A148" s="34" t="s">
        <v>32</v>
      </c>
      <c r="B148" s="75" t="s">
        <v>71</v>
      </c>
      <c r="C148" s="75"/>
      <c r="D148" s="24">
        <f>D136</f>
        <v>1012.629852873563</v>
      </c>
    </row>
    <row r="149" spans="1:4" x14ac:dyDescent="0.2">
      <c r="A149" s="76" t="s">
        <v>72</v>
      </c>
      <c r="B149" s="76"/>
      <c r="C149" s="76"/>
      <c r="D149" s="23">
        <f>ROUND(SUM(D147:D148),2)</f>
        <v>5649.41</v>
      </c>
    </row>
  </sheetData>
  <mergeCells count="70"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A136:B136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46:C146"/>
    <mergeCell ref="A147:C147"/>
    <mergeCell ref="B148:C148"/>
    <mergeCell ref="A149:C149"/>
    <mergeCell ref="A139:D139"/>
    <mergeCell ref="B141:C141"/>
    <mergeCell ref="B142:C142"/>
    <mergeCell ref="B143:C143"/>
    <mergeCell ref="B144:C144"/>
    <mergeCell ref="B145:C145"/>
  </mergeCells>
  <pageMargins left="0.511811024" right="0.511811024" top="1.09375" bottom="0.78740157499999996" header="0.31496062000000002" footer="0.31496062000000002"/>
  <pageSetup paperSize="9" scale="84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zoomScaleNormal="100" zoomScaleSheetLayoutView="100" workbookViewId="0">
      <selection activeCell="F30" sqref="F30"/>
    </sheetView>
  </sheetViews>
  <sheetFormatPr defaultRowHeight="15" x14ac:dyDescent="0.25"/>
  <cols>
    <col min="1" max="1" width="30.7109375" style="41" customWidth="1"/>
    <col min="2" max="15" width="10.7109375" style="39" customWidth="1"/>
    <col min="16" max="16384" width="9.140625" style="39"/>
  </cols>
  <sheetData>
    <row r="1" spans="1:15" x14ac:dyDescent="0.25">
      <c r="A1" s="51" t="s">
        <v>175</v>
      </c>
    </row>
    <row r="2" spans="1:15" x14ac:dyDescent="0.25">
      <c r="A2" s="39" t="s">
        <v>174</v>
      </c>
    </row>
    <row r="3" spans="1:15" x14ac:dyDescent="0.25">
      <c r="A3" s="51" t="s">
        <v>127</v>
      </c>
    </row>
    <row r="4" spans="1:15" s="41" customFormat="1" ht="51" customHeight="1" x14ac:dyDescent="0.25">
      <c r="A4" s="42" t="s">
        <v>114</v>
      </c>
      <c r="B4" s="94" t="str">
        <f>assistenterp!A6</f>
        <v>Assistente de Relações Públicas</v>
      </c>
      <c r="C4" s="94"/>
      <c r="D4" s="94" t="str">
        <f>redator!A6</f>
        <v>Redator</v>
      </c>
      <c r="E4" s="94"/>
      <c r="F4" s="94" t="str">
        <f>editor!A6</f>
        <v>Editor</v>
      </c>
      <c r="G4" s="94"/>
      <c r="H4" s="94" t="str">
        <f>designer!A6</f>
        <v>Designer Gráfico</v>
      </c>
      <c r="I4" s="94"/>
      <c r="J4" s="94" t="str">
        <f>assistenteadm!A6</f>
        <v>Assistente Administrativo</v>
      </c>
      <c r="K4" s="94"/>
      <c r="L4" s="94" t="str">
        <f>redatorad!A6</f>
        <v>Redator - acréscimo por 7 meses em anos eleitorais</v>
      </c>
      <c r="M4" s="94"/>
      <c r="N4" s="94" t="str">
        <f>designerad!A6</f>
        <v>Designer Gráfico - acréscimo por 7 meses em anos eleitorais</v>
      </c>
      <c r="O4" s="94"/>
    </row>
    <row r="5" spans="1:15" x14ac:dyDescent="0.25">
      <c r="A5" s="42" t="s">
        <v>113</v>
      </c>
      <c r="B5" s="43"/>
      <c r="C5" s="44">
        <f>assistenterp!D26</f>
        <v>2366.04</v>
      </c>
      <c r="D5" s="47" t="s">
        <v>122</v>
      </c>
      <c r="E5" s="44">
        <f>redator!D26</f>
        <v>3659.5</v>
      </c>
      <c r="F5" s="43"/>
      <c r="G5" s="44">
        <f>editor!D26</f>
        <v>4179.3900000000003</v>
      </c>
      <c r="H5" s="43" t="s">
        <v>122</v>
      </c>
      <c r="I5" s="44">
        <f>designer!D26</f>
        <v>2784.52</v>
      </c>
      <c r="J5" s="43"/>
      <c r="K5" s="44">
        <f>assistenteadm!D26</f>
        <v>1757.3</v>
      </c>
      <c r="L5" s="43"/>
      <c r="M5" s="44">
        <f>redatorad!D26</f>
        <v>3659.5</v>
      </c>
      <c r="N5" s="43"/>
      <c r="O5" s="44">
        <f>designerad!D26</f>
        <v>2784.52</v>
      </c>
    </row>
    <row r="6" spans="1:15" x14ac:dyDescent="0.25">
      <c r="A6" s="42" t="s">
        <v>121</v>
      </c>
      <c r="B6" s="43">
        <v>175</v>
      </c>
      <c r="C6" s="44">
        <f>ROUND(C5/B6,2)</f>
        <v>13.52</v>
      </c>
      <c r="D6" s="43">
        <v>175</v>
      </c>
      <c r="E6" s="44">
        <f>ROUND(E5/D6,2)</f>
        <v>20.91</v>
      </c>
      <c r="F6" s="43">
        <v>175</v>
      </c>
      <c r="G6" s="44">
        <f t="shared" ref="G6" si="0">ROUND(G5/F6,2)</f>
        <v>23.88</v>
      </c>
      <c r="H6" s="43">
        <v>175</v>
      </c>
      <c r="I6" s="44">
        <f t="shared" ref="I6" si="1">ROUND(I5/H6,2)</f>
        <v>15.91</v>
      </c>
      <c r="J6" s="43">
        <v>175</v>
      </c>
      <c r="K6" s="44">
        <f t="shared" ref="K6" si="2">ROUND(K5/J6,2)</f>
        <v>10.039999999999999</v>
      </c>
      <c r="L6" s="43">
        <v>175</v>
      </c>
      <c r="M6" s="44">
        <f>ROUND(M5/L6,2)</f>
        <v>20.91</v>
      </c>
      <c r="N6" s="43">
        <v>175</v>
      </c>
      <c r="O6" s="44">
        <f t="shared" ref="O6" si="3">ROUND(O5/N6,2)</f>
        <v>15.91</v>
      </c>
    </row>
    <row r="7" spans="1:15" x14ac:dyDescent="0.25">
      <c r="A7" s="42" t="s">
        <v>115</v>
      </c>
      <c r="B7" s="45">
        <f>assistenterp!C36</f>
        <v>0.19439999999999999</v>
      </c>
      <c r="C7" s="44">
        <f>ROUND(C6*B7,2)</f>
        <v>2.63</v>
      </c>
      <c r="D7" s="45">
        <f>redator!C36</f>
        <v>0.19439999999999999</v>
      </c>
      <c r="E7" s="44">
        <f>ROUND(E6*D7,2)</f>
        <v>4.0599999999999996</v>
      </c>
      <c r="F7" s="45">
        <f>editor!C36</f>
        <v>0.19439999999999999</v>
      </c>
      <c r="G7" s="44">
        <f>ROUND(G6*F7,2)</f>
        <v>4.6399999999999997</v>
      </c>
      <c r="H7" s="45">
        <f>designer!C36</f>
        <v>0.19439999999999999</v>
      </c>
      <c r="I7" s="44">
        <f>ROUND(I6*H7,2)</f>
        <v>3.09</v>
      </c>
      <c r="J7" s="45">
        <f>assistenteadm!C36</f>
        <v>0.19439999999999999</v>
      </c>
      <c r="K7" s="44">
        <f>ROUND(K6*J7,2)</f>
        <v>1.95</v>
      </c>
      <c r="L7" s="45">
        <f>redatorad!C36</f>
        <v>0.19439999999999999</v>
      </c>
      <c r="M7" s="44">
        <f>ROUND(M6*L7,2)</f>
        <v>4.0599999999999996</v>
      </c>
      <c r="N7" s="45">
        <f>designerad!C36</f>
        <v>0.19439999999999999</v>
      </c>
      <c r="O7" s="44">
        <f>ROUND(O6*N7,2)</f>
        <v>3.09</v>
      </c>
    </row>
    <row r="8" spans="1:15" x14ac:dyDescent="0.25">
      <c r="A8" s="42" t="s">
        <v>123</v>
      </c>
      <c r="B8" s="45"/>
      <c r="C8" s="44">
        <f>SUM(C6:C7)</f>
        <v>16.149999999999999</v>
      </c>
      <c r="D8" s="45"/>
      <c r="E8" s="44">
        <f>SUM(E6:E7)</f>
        <v>24.97</v>
      </c>
      <c r="F8" s="45"/>
      <c r="G8" s="44">
        <f>SUM(G6:G7)</f>
        <v>28.52</v>
      </c>
      <c r="H8" s="45"/>
      <c r="I8" s="44">
        <f>SUM(I6:I7)</f>
        <v>19</v>
      </c>
      <c r="J8" s="45"/>
      <c r="K8" s="44">
        <f>SUM(K6:K7)</f>
        <v>11.989999999999998</v>
      </c>
      <c r="L8" s="45"/>
      <c r="M8" s="44">
        <f>SUM(M6:M7)</f>
        <v>24.97</v>
      </c>
      <c r="N8" s="45"/>
      <c r="O8" s="44">
        <f>SUM(O6:O7)</f>
        <v>19</v>
      </c>
    </row>
    <row r="9" spans="1:15" x14ac:dyDescent="0.25">
      <c r="A9" s="42" t="s">
        <v>116</v>
      </c>
      <c r="B9" s="45">
        <f>assistenterp!C50</f>
        <v>0.36800000000000005</v>
      </c>
      <c r="C9" s="44">
        <f>ROUND(C8*B9,2)</f>
        <v>5.94</v>
      </c>
      <c r="D9" s="45">
        <f>redator!C50</f>
        <v>0.36800000000000005</v>
      </c>
      <c r="E9" s="44">
        <f>ROUND(E8*D9,2)</f>
        <v>9.19</v>
      </c>
      <c r="F9" s="45">
        <f>editor!C50</f>
        <v>0.36800000000000005</v>
      </c>
      <c r="G9" s="44">
        <f>ROUND(G8*F9,2)</f>
        <v>10.5</v>
      </c>
      <c r="H9" s="45">
        <f>designer!C50</f>
        <v>0.36800000000000005</v>
      </c>
      <c r="I9" s="44">
        <f>ROUND(I8*H9,2)</f>
        <v>6.99</v>
      </c>
      <c r="J9" s="45">
        <f>assistenteadm!C50</f>
        <v>0.36800000000000005</v>
      </c>
      <c r="K9" s="44">
        <f>ROUND(K8*J9,2)</f>
        <v>4.41</v>
      </c>
      <c r="L9" s="45">
        <f>redatorad!C50</f>
        <v>0.36800000000000005</v>
      </c>
      <c r="M9" s="44">
        <f>ROUND(M8*L9,2)</f>
        <v>9.19</v>
      </c>
      <c r="N9" s="45">
        <f>designerad!C50</f>
        <v>0.36800000000000005</v>
      </c>
      <c r="O9" s="44">
        <f>ROUND(O8*N9,2)</f>
        <v>6.99</v>
      </c>
    </row>
    <row r="10" spans="1:15" x14ac:dyDescent="0.25">
      <c r="A10" s="42" t="s">
        <v>124</v>
      </c>
      <c r="B10" s="43"/>
      <c r="C10" s="44">
        <f>SUM(C8:C9)</f>
        <v>22.09</v>
      </c>
      <c r="D10" s="43"/>
      <c r="E10" s="44">
        <f>SUM(E8:E9)</f>
        <v>34.159999999999997</v>
      </c>
      <c r="F10" s="43"/>
      <c r="G10" s="44">
        <f>SUM(G8:G9)</f>
        <v>39.019999999999996</v>
      </c>
      <c r="H10" s="43"/>
      <c r="I10" s="44">
        <f>SUM(I8:I9)</f>
        <v>25.990000000000002</v>
      </c>
      <c r="J10" s="43"/>
      <c r="K10" s="44">
        <f>SUM(K8:K9)</f>
        <v>16.399999999999999</v>
      </c>
      <c r="L10" s="43"/>
      <c r="M10" s="44">
        <f>SUM(M8:M9)</f>
        <v>34.159999999999997</v>
      </c>
      <c r="N10" s="43"/>
      <c r="O10" s="44">
        <f>SUM(O8:O9)</f>
        <v>25.990000000000002</v>
      </c>
    </row>
    <row r="11" spans="1:15" x14ac:dyDescent="0.25">
      <c r="A11" s="42" t="s">
        <v>118</v>
      </c>
      <c r="B11" s="45">
        <f>assistenterp!C136</f>
        <v>0.21839</v>
      </c>
      <c r="C11" s="44">
        <f>ROUND(C10*B11,2)</f>
        <v>4.82</v>
      </c>
      <c r="D11" s="45">
        <f>redator!C136</f>
        <v>0.21839</v>
      </c>
      <c r="E11" s="44">
        <f>ROUND(E10*D11,2)</f>
        <v>7.46</v>
      </c>
      <c r="F11" s="45">
        <f>editor!C136</f>
        <v>0.21839</v>
      </c>
      <c r="G11" s="44">
        <f>ROUND(G10*F11,2)</f>
        <v>8.52</v>
      </c>
      <c r="H11" s="45">
        <f>designer!C136</f>
        <v>0.21839</v>
      </c>
      <c r="I11" s="44">
        <f>ROUND(I10*H11,2)</f>
        <v>5.68</v>
      </c>
      <c r="J11" s="45">
        <f>assistenteadm!C136</f>
        <v>0.21839</v>
      </c>
      <c r="K11" s="44">
        <f>ROUND(K10*J11,2)</f>
        <v>3.58</v>
      </c>
      <c r="L11" s="45">
        <f>redatorad!C136</f>
        <v>0.21839</v>
      </c>
      <c r="M11" s="44">
        <f>ROUND(M10*L11,2)</f>
        <v>7.46</v>
      </c>
      <c r="N11" s="45">
        <f>designerad!C136</f>
        <v>0.21839</v>
      </c>
      <c r="O11" s="44">
        <f>ROUND(O10*N11,2)</f>
        <v>5.68</v>
      </c>
    </row>
    <row r="12" spans="1:15" x14ac:dyDescent="0.25">
      <c r="A12" s="42" t="s">
        <v>119</v>
      </c>
      <c r="B12" s="43"/>
      <c r="C12" s="44">
        <f>SUM(C10:C11)</f>
        <v>26.91</v>
      </c>
      <c r="D12" s="43"/>
      <c r="E12" s="44">
        <f>SUM(E10:E11)</f>
        <v>41.62</v>
      </c>
      <c r="F12" s="43"/>
      <c r="G12" s="44">
        <f>SUM(G10:G11)</f>
        <v>47.539999999999992</v>
      </c>
      <c r="H12" s="43"/>
      <c r="I12" s="44">
        <f>SUM(I10:I11)</f>
        <v>31.67</v>
      </c>
      <c r="J12" s="43"/>
      <c r="K12" s="44">
        <f>SUM(K10:K11)</f>
        <v>19.979999999999997</v>
      </c>
      <c r="L12" s="43"/>
      <c r="M12" s="44">
        <f>SUM(M10:M11)</f>
        <v>41.62</v>
      </c>
      <c r="N12" s="43"/>
      <c r="O12" s="44">
        <f>SUM(O10:O11)</f>
        <v>31.67</v>
      </c>
    </row>
    <row r="13" spans="1:15" ht="30" x14ac:dyDescent="0.25">
      <c r="A13" s="42" t="s">
        <v>133</v>
      </c>
      <c r="B13" s="46">
        <v>0.5</v>
      </c>
      <c r="C13" s="53">
        <f>ROUND(C12*(1+B13),2)</f>
        <v>40.369999999999997</v>
      </c>
      <c r="D13" s="46">
        <v>0.5</v>
      </c>
      <c r="E13" s="53">
        <f>ROUND(E12*(1+D13),2)</f>
        <v>62.43</v>
      </c>
      <c r="F13" s="46">
        <v>0.5</v>
      </c>
      <c r="G13" s="53">
        <f>ROUND(G12*(1+F13),2)</f>
        <v>71.31</v>
      </c>
      <c r="H13" s="46">
        <v>0.5</v>
      </c>
      <c r="I13" s="53">
        <f>ROUND(I12*(1+H13),2)</f>
        <v>47.51</v>
      </c>
      <c r="J13" s="46">
        <v>0.5</v>
      </c>
      <c r="K13" s="53">
        <f>ROUND(K12*(1+J13),2)</f>
        <v>29.97</v>
      </c>
      <c r="L13" s="46">
        <v>0.5</v>
      </c>
      <c r="M13" s="53">
        <f>ROUND(M12*(1+L13),2)</f>
        <v>62.43</v>
      </c>
      <c r="N13" s="46">
        <v>0.5</v>
      </c>
      <c r="O13" s="53">
        <f>ROUND(O12*(1+N13),2)</f>
        <v>47.51</v>
      </c>
    </row>
    <row r="14" spans="1:15" x14ac:dyDescent="0.25">
      <c r="A14" s="42" t="s">
        <v>120</v>
      </c>
      <c r="B14" s="46">
        <v>1</v>
      </c>
      <c r="C14" s="53">
        <f>ROUND(C12*(1+B14),2)</f>
        <v>53.82</v>
      </c>
      <c r="D14" s="46">
        <v>1</v>
      </c>
      <c r="E14" s="53">
        <f>ROUND(E12*(1+D14),2)</f>
        <v>83.24</v>
      </c>
      <c r="F14" s="46">
        <v>1</v>
      </c>
      <c r="G14" s="53">
        <f>ROUND(G12*(1+F14),2)</f>
        <v>95.08</v>
      </c>
      <c r="H14" s="46">
        <v>1</v>
      </c>
      <c r="I14" s="53">
        <f>ROUND(I12*(1+H14),2)</f>
        <v>63.34</v>
      </c>
      <c r="J14" s="46">
        <v>1</v>
      </c>
      <c r="K14" s="53">
        <f>ROUND(K12*(1+J14),2)</f>
        <v>39.96</v>
      </c>
      <c r="L14" s="46">
        <v>1</v>
      </c>
      <c r="M14" s="53">
        <f>ROUND(M12*(1+L14),2)</f>
        <v>83.24</v>
      </c>
      <c r="N14" s="46">
        <v>1</v>
      </c>
      <c r="O14" s="53">
        <f>ROUND(O12*(1+N14),2)</f>
        <v>63.34</v>
      </c>
    </row>
    <row r="16" spans="1:15" x14ac:dyDescent="0.25">
      <c r="A16" s="51" t="s">
        <v>132</v>
      </c>
    </row>
    <row r="17" spans="1:15" ht="51" customHeight="1" x14ac:dyDescent="0.25">
      <c r="A17" s="42" t="s">
        <v>114</v>
      </c>
      <c r="B17" s="94" t="str">
        <f>B4</f>
        <v>Assistente de Relações Públicas</v>
      </c>
      <c r="C17" s="94"/>
      <c r="D17" s="94" t="str">
        <f t="shared" ref="D17" si="4">D4</f>
        <v>Redator</v>
      </c>
      <c r="E17" s="94"/>
      <c r="F17" s="94" t="str">
        <f t="shared" ref="F17" si="5">F4</f>
        <v>Editor</v>
      </c>
      <c r="G17" s="94"/>
      <c r="H17" s="94" t="str">
        <f t="shared" ref="H17" si="6">H4</f>
        <v>Designer Gráfico</v>
      </c>
      <c r="I17" s="94"/>
      <c r="J17" s="94" t="str">
        <f t="shared" ref="J17" si="7">J4</f>
        <v>Assistente Administrativo</v>
      </c>
      <c r="K17" s="94"/>
      <c r="L17" s="94" t="str">
        <f t="shared" ref="L17" si="8">L4</f>
        <v>Redator - acréscimo por 7 meses em anos eleitorais</v>
      </c>
      <c r="M17" s="94"/>
      <c r="N17" s="94" t="str">
        <f t="shared" ref="N17" si="9">N4</f>
        <v>Designer Gráfico - acréscimo por 7 meses em anos eleitorais</v>
      </c>
      <c r="O17" s="94"/>
    </row>
    <row r="18" spans="1:15" x14ac:dyDescent="0.25">
      <c r="A18" s="42" t="s">
        <v>134</v>
      </c>
      <c r="B18" s="43">
        <v>50</v>
      </c>
      <c r="C18" s="44">
        <f>B18*C13</f>
        <v>2018.4999999999998</v>
      </c>
      <c r="D18" s="43">
        <v>50</v>
      </c>
      <c r="E18" s="44">
        <f>D18*E13</f>
        <v>3121.5</v>
      </c>
      <c r="F18" s="43">
        <v>50</v>
      </c>
      <c r="G18" s="44">
        <f>F18*G13</f>
        <v>3565.5</v>
      </c>
      <c r="H18" s="43">
        <v>50</v>
      </c>
      <c r="I18" s="44">
        <f>H18*I13</f>
        <v>2375.5</v>
      </c>
      <c r="J18" s="43">
        <v>50</v>
      </c>
      <c r="K18" s="44">
        <f>J18*K13</f>
        <v>1498.5</v>
      </c>
      <c r="L18" s="43">
        <v>50</v>
      </c>
      <c r="M18" s="44">
        <f>L18*M13</f>
        <v>3121.5</v>
      </c>
      <c r="N18" s="43">
        <v>50</v>
      </c>
      <c r="O18" s="44">
        <f>N18*O13</f>
        <v>2375.5</v>
      </c>
    </row>
    <row r="19" spans="1:15" x14ac:dyDescent="0.25">
      <c r="A19" s="42" t="s">
        <v>129</v>
      </c>
      <c r="B19" s="43">
        <v>50</v>
      </c>
      <c r="C19" s="44">
        <f>B19*C14</f>
        <v>2691</v>
      </c>
      <c r="D19" s="43">
        <v>50</v>
      </c>
      <c r="E19" s="44">
        <f>D19*E14</f>
        <v>4162</v>
      </c>
      <c r="F19" s="43">
        <v>50</v>
      </c>
      <c r="G19" s="44">
        <f>F19*G14</f>
        <v>4754</v>
      </c>
      <c r="H19" s="43">
        <v>50</v>
      </c>
      <c r="I19" s="44">
        <f>H19*I14</f>
        <v>3167</v>
      </c>
      <c r="J19" s="43">
        <v>50</v>
      </c>
      <c r="K19" s="44">
        <f>J19*K14</f>
        <v>1998</v>
      </c>
      <c r="L19" s="43">
        <v>50</v>
      </c>
      <c r="M19" s="44">
        <f>L19*M14</f>
        <v>4162</v>
      </c>
      <c r="N19" s="43">
        <v>50</v>
      </c>
      <c r="O19" s="44">
        <f>N19*O14</f>
        <v>3167</v>
      </c>
    </row>
    <row r="20" spans="1:15" x14ac:dyDescent="0.25">
      <c r="A20" s="42" t="s">
        <v>131</v>
      </c>
      <c r="B20" s="43"/>
      <c r="C20" s="44">
        <f>SUM(C18:C19)</f>
        <v>4709.5</v>
      </c>
      <c r="D20" s="43"/>
      <c r="E20" s="44">
        <f t="shared" ref="E20" si="10">SUM(E18:E19)</f>
        <v>7283.5</v>
      </c>
      <c r="F20" s="43"/>
      <c r="G20" s="44">
        <f t="shared" ref="G20" si="11">SUM(G18:G19)</f>
        <v>8319.5</v>
      </c>
      <c r="H20" s="43"/>
      <c r="I20" s="44">
        <f t="shared" ref="I20" si="12">SUM(I18:I19)</f>
        <v>5542.5</v>
      </c>
      <c r="J20" s="43"/>
      <c r="K20" s="44">
        <f t="shared" ref="K20" si="13">SUM(K18:K19)</f>
        <v>3496.5</v>
      </c>
      <c r="L20" s="43"/>
      <c r="M20" s="44">
        <f t="shared" ref="M20" si="14">SUM(M18:M19)</f>
        <v>7283.5</v>
      </c>
      <c r="N20" s="43"/>
      <c r="O20" s="44">
        <f t="shared" ref="O20" si="15">SUM(O18:O19)</f>
        <v>5542.5</v>
      </c>
    </row>
    <row r="21" spans="1:15" x14ac:dyDescent="0.25">
      <c r="A21" s="42" t="s">
        <v>130</v>
      </c>
      <c r="B21" s="43">
        <f>assistenterp!D6</f>
        <v>2</v>
      </c>
      <c r="C21" s="44">
        <f>B21*C20</f>
        <v>9419</v>
      </c>
      <c r="D21" s="43">
        <f>redator!D6</f>
        <v>4</v>
      </c>
      <c r="E21" s="44">
        <f>D21*E20</f>
        <v>29134</v>
      </c>
      <c r="F21" s="43">
        <f>editor!D6</f>
        <v>2</v>
      </c>
      <c r="G21" s="44">
        <f>F21*G20</f>
        <v>16639</v>
      </c>
      <c r="H21" s="43">
        <f>designer!D6</f>
        <v>1</v>
      </c>
      <c r="I21" s="44">
        <f>H21*I20</f>
        <v>5542.5</v>
      </c>
      <c r="J21" s="43">
        <f>assistenteadm!D6</f>
        <v>1</v>
      </c>
      <c r="K21" s="44">
        <f>J21*K20</f>
        <v>3496.5</v>
      </c>
      <c r="L21" s="43">
        <f>redatorad!D6</f>
        <v>2</v>
      </c>
      <c r="M21" s="44">
        <f>L21*M20</f>
        <v>14567</v>
      </c>
      <c r="N21" s="43">
        <f>designerad!D6</f>
        <v>1</v>
      </c>
      <c r="O21" s="44">
        <f>N21*O20</f>
        <v>5542.5</v>
      </c>
    </row>
    <row r="23" spans="1:15" x14ac:dyDescent="0.25">
      <c r="A23" s="51" t="s">
        <v>140</v>
      </c>
    </row>
    <row r="24" spans="1:15" ht="51" customHeight="1" x14ac:dyDescent="0.25">
      <c r="A24" s="42" t="s">
        <v>114</v>
      </c>
      <c r="B24" s="94" t="str">
        <f>B4</f>
        <v>Assistente de Relações Públicas</v>
      </c>
      <c r="C24" s="94"/>
      <c r="D24" s="94" t="str">
        <f>D4</f>
        <v>Redator</v>
      </c>
      <c r="E24" s="94"/>
      <c r="F24" s="94" t="str">
        <f>F4</f>
        <v>Editor</v>
      </c>
      <c r="G24" s="94"/>
      <c r="H24" s="94" t="str">
        <f>H4</f>
        <v>Designer Gráfico</v>
      </c>
      <c r="I24" s="94"/>
      <c r="J24" s="94" t="str">
        <f>J4</f>
        <v>Assistente Administrativo</v>
      </c>
      <c r="K24" s="94"/>
      <c r="L24" s="94" t="str">
        <f>L4</f>
        <v>Redator - acréscimo por 7 meses em anos eleitorais</v>
      </c>
      <c r="M24" s="94"/>
      <c r="N24" s="94" t="str">
        <f>N4</f>
        <v>Designer Gráfico - acréscimo por 7 meses em anos eleitorais</v>
      </c>
      <c r="O24" s="94"/>
    </row>
    <row r="25" spans="1:15" x14ac:dyDescent="0.25">
      <c r="A25" s="42" t="s">
        <v>135</v>
      </c>
      <c r="B25" s="50"/>
      <c r="C25" s="44">
        <v>5.2</v>
      </c>
      <c r="D25" s="50"/>
      <c r="E25" s="44">
        <v>5.2</v>
      </c>
      <c r="F25" s="52" t="s">
        <v>143</v>
      </c>
      <c r="G25" s="44">
        <v>0</v>
      </c>
      <c r="H25" s="50"/>
      <c r="I25" s="44">
        <v>5.2</v>
      </c>
      <c r="J25" s="50"/>
      <c r="K25" s="44">
        <v>5.2</v>
      </c>
      <c r="L25" s="50"/>
      <c r="M25" s="44">
        <v>5.2</v>
      </c>
      <c r="N25" s="50"/>
      <c r="O25" s="44">
        <v>5.2</v>
      </c>
    </row>
    <row r="26" spans="1:15" x14ac:dyDescent="0.25">
      <c r="A26" s="42" t="s">
        <v>136</v>
      </c>
      <c r="B26" s="43">
        <v>2</v>
      </c>
      <c r="C26" s="44">
        <f>B26*C25</f>
        <v>10.4</v>
      </c>
      <c r="D26" s="43">
        <v>2</v>
      </c>
      <c r="E26" s="44">
        <f t="shared" ref="E26" si="16">D26*E25</f>
        <v>10.4</v>
      </c>
      <c r="F26" s="43">
        <v>2</v>
      </c>
      <c r="G26" s="44">
        <f t="shared" ref="G26" si="17">F26*G25</f>
        <v>0</v>
      </c>
      <c r="H26" s="43">
        <v>2</v>
      </c>
      <c r="I26" s="44">
        <f t="shared" ref="I26" si="18">H26*I25</f>
        <v>10.4</v>
      </c>
      <c r="J26" s="43">
        <v>2</v>
      </c>
      <c r="K26" s="44">
        <f t="shared" ref="K26" si="19">J26*K25</f>
        <v>10.4</v>
      </c>
      <c r="L26" s="43">
        <v>2</v>
      </c>
      <c r="M26" s="44">
        <f t="shared" ref="M26" si="20">L26*M25</f>
        <v>10.4</v>
      </c>
      <c r="N26" s="43">
        <v>2</v>
      </c>
      <c r="O26" s="44">
        <f t="shared" ref="O26" si="21">N26*O25</f>
        <v>10.4</v>
      </c>
    </row>
    <row r="27" spans="1:15" x14ac:dyDescent="0.25">
      <c r="A27" s="42" t="s">
        <v>118</v>
      </c>
      <c r="B27" s="45">
        <f>B11</f>
        <v>0.21839</v>
      </c>
      <c r="C27" s="44">
        <f>ROUND(C26*B27,2)</f>
        <v>2.27</v>
      </c>
      <c r="D27" s="45">
        <f t="shared" ref="D27" si="22">D11</f>
        <v>0.21839</v>
      </c>
      <c r="E27" s="44">
        <f t="shared" ref="E27" si="23">ROUND(E26*D27,2)</f>
        <v>2.27</v>
      </c>
      <c r="F27" s="45">
        <f t="shared" ref="F27" si="24">F11</f>
        <v>0.21839</v>
      </c>
      <c r="G27" s="44">
        <f t="shared" ref="G27" si="25">ROUND(G26*F27,2)</f>
        <v>0</v>
      </c>
      <c r="H27" s="45">
        <f t="shared" ref="H27" si="26">H11</f>
        <v>0.21839</v>
      </c>
      <c r="I27" s="44">
        <f t="shared" ref="I27" si="27">ROUND(I26*H27,2)</f>
        <v>2.27</v>
      </c>
      <c r="J27" s="45">
        <f t="shared" ref="J27" si="28">J11</f>
        <v>0.21839</v>
      </c>
      <c r="K27" s="44">
        <f t="shared" ref="K27" si="29">ROUND(K26*J27,2)</f>
        <v>2.27</v>
      </c>
      <c r="L27" s="45">
        <f t="shared" ref="L27" si="30">L11</f>
        <v>0.21839</v>
      </c>
      <c r="M27" s="44">
        <f t="shared" ref="M27" si="31">ROUND(M26*L27,2)</f>
        <v>2.27</v>
      </c>
      <c r="N27" s="45">
        <f t="shared" ref="N27" si="32">N11</f>
        <v>0.21839</v>
      </c>
      <c r="O27" s="44">
        <f t="shared" ref="O27" si="33">ROUND(O26*N27,2)</f>
        <v>2.27</v>
      </c>
    </row>
    <row r="28" spans="1:15" ht="30" x14ac:dyDescent="0.25">
      <c r="A28" s="42" t="s">
        <v>137</v>
      </c>
      <c r="B28" s="45"/>
      <c r="C28" s="53">
        <f>SUM(C26:C27)</f>
        <v>12.67</v>
      </c>
      <c r="D28" s="45"/>
      <c r="E28" s="53">
        <f t="shared" ref="E28" si="34">SUM(E26:E27)</f>
        <v>12.67</v>
      </c>
      <c r="F28" s="45"/>
      <c r="G28" s="53">
        <f t="shared" ref="G28" si="35">SUM(G26:G27)</f>
        <v>0</v>
      </c>
      <c r="H28" s="45"/>
      <c r="I28" s="53">
        <f t="shared" ref="I28" si="36">SUM(I26:I27)</f>
        <v>12.67</v>
      </c>
      <c r="J28" s="45"/>
      <c r="K28" s="53">
        <f t="shared" ref="K28" si="37">SUM(K26:K27)</f>
        <v>12.67</v>
      </c>
      <c r="L28" s="45"/>
      <c r="M28" s="53">
        <f t="shared" ref="M28" si="38">SUM(M26:M27)</f>
        <v>12.67</v>
      </c>
      <c r="N28" s="45"/>
      <c r="O28" s="53">
        <f t="shared" ref="O28" si="39">SUM(O26:O27)</f>
        <v>12.67</v>
      </c>
    </row>
    <row r="29" spans="1:15" x14ac:dyDescent="0.25">
      <c r="A29" s="42" t="s">
        <v>138</v>
      </c>
      <c r="B29" s="43">
        <v>5</v>
      </c>
      <c r="C29" s="44">
        <f>B29*C28</f>
        <v>63.35</v>
      </c>
      <c r="D29" s="43">
        <v>5</v>
      </c>
      <c r="E29" s="44">
        <f t="shared" ref="E29" si="40">D29*E28</f>
        <v>63.35</v>
      </c>
      <c r="F29" s="43">
        <v>5</v>
      </c>
      <c r="G29" s="44">
        <f t="shared" ref="G29" si="41">F29*G28</f>
        <v>0</v>
      </c>
      <c r="H29" s="43">
        <v>5</v>
      </c>
      <c r="I29" s="44">
        <f t="shared" ref="I29" si="42">H29*I28</f>
        <v>63.35</v>
      </c>
      <c r="J29" s="43">
        <v>5</v>
      </c>
      <c r="K29" s="44">
        <f t="shared" ref="K29" si="43">J29*K28</f>
        <v>63.35</v>
      </c>
      <c r="L29" s="43">
        <v>5</v>
      </c>
      <c r="M29" s="44">
        <f t="shared" ref="M29" si="44">L29*M28</f>
        <v>63.35</v>
      </c>
      <c r="N29" s="43">
        <v>5</v>
      </c>
      <c r="O29" s="44">
        <f t="shared" ref="O29" si="45">N29*O28</f>
        <v>63.35</v>
      </c>
    </row>
    <row r="30" spans="1:15" x14ac:dyDescent="0.25">
      <c r="A30" s="42" t="s">
        <v>139</v>
      </c>
      <c r="B30" s="43">
        <v>5</v>
      </c>
      <c r="C30" s="44">
        <f>B30*C28</f>
        <v>63.35</v>
      </c>
      <c r="D30" s="43">
        <v>5</v>
      </c>
      <c r="E30" s="44">
        <f t="shared" ref="E30" si="46">D30*E28</f>
        <v>63.35</v>
      </c>
      <c r="F30" s="43">
        <v>5</v>
      </c>
      <c r="G30" s="44">
        <f t="shared" ref="G30" si="47">F30*G28</f>
        <v>0</v>
      </c>
      <c r="H30" s="43">
        <v>5</v>
      </c>
      <c r="I30" s="44">
        <f t="shared" ref="I30" si="48">H30*I28</f>
        <v>63.35</v>
      </c>
      <c r="J30" s="43">
        <v>5</v>
      </c>
      <c r="K30" s="44">
        <f t="shared" ref="K30" si="49">J30*K28</f>
        <v>63.35</v>
      </c>
      <c r="L30" s="43">
        <v>5</v>
      </c>
      <c r="M30" s="44">
        <f t="shared" ref="M30" si="50">L30*M28</f>
        <v>63.35</v>
      </c>
      <c r="N30" s="43">
        <v>5</v>
      </c>
      <c r="O30" s="44">
        <f t="shared" ref="O30" si="51">N30*O28</f>
        <v>63.35</v>
      </c>
    </row>
    <row r="31" spans="1:15" x14ac:dyDescent="0.25">
      <c r="A31" s="42" t="s">
        <v>131</v>
      </c>
      <c r="B31" s="43"/>
      <c r="C31" s="44">
        <f>SUM(C29:C30)</f>
        <v>126.7</v>
      </c>
      <c r="D31" s="43"/>
      <c r="E31" s="44">
        <f t="shared" ref="E31" si="52">SUM(E29:E30)</f>
        <v>126.7</v>
      </c>
      <c r="F31" s="43"/>
      <c r="G31" s="44">
        <f t="shared" ref="G31" si="53">SUM(G29:G30)</f>
        <v>0</v>
      </c>
      <c r="H31" s="43"/>
      <c r="I31" s="44">
        <f t="shared" ref="I31" si="54">SUM(I29:I30)</f>
        <v>126.7</v>
      </c>
      <c r="J31" s="43"/>
      <c r="K31" s="44">
        <f t="shared" ref="K31" si="55">SUM(K29:K30)</f>
        <v>126.7</v>
      </c>
      <c r="L31" s="43"/>
      <c r="M31" s="44">
        <f t="shared" ref="M31" si="56">SUM(M29:M30)</f>
        <v>126.7</v>
      </c>
      <c r="N31" s="43"/>
      <c r="O31" s="44">
        <f t="shared" ref="O31" si="57">SUM(O29:O30)</f>
        <v>126.7</v>
      </c>
    </row>
    <row r="32" spans="1:15" x14ac:dyDescent="0.25">
      <c r="A32" s="42" t="s">
        <v>130</v>
      </c>
      <c r="B32" s="43">
        <f>assistenterp!D6</f>
        <v>2</v>
      </c>
      <c r="C32" s="44">
        <f>B32*C31</f>
        <v>253.4</v>
      </c>
      <c r="D32" s="43">
        <f>redator!D6</f>
        <v>4</v>
      </c>
      <c r="E32" s="44">
        <f>D32*E31</f>
        <v>506.8</v>
      </c>
      <c r="F32" s="43">
        <f>editor!D6</f>
        <v>2</v>
      </c>
      <c r="G32" s="44">
        <f>F32*G31</f>
        <v>0</v>
      </c>
      <c r="H32" s="43">
        <f>designer!D6</f>
        <v>1</v>
      </c>
      <c r="I32" s="44">
        <f>H32*I31</f>
        <v>126.7</v>
      </c>
      <c r="J32" s="43">
        <f>assistenteadm!D6</f>
        <v>1</v>
      </c>
      <c r="K32" s="44">
        <f>J32*K31</f>
        <v>126.7</v>
      </c>
      <c r="L32" s="43">
        <f>redatorad!D6</f>
        <v>2</v>
      </c>
      <c r="M32" s="44">
        <f>L32*M31</f>
        <v>253.4</v>
      </c>
      <c r="N32" s="43">
        <f>designerad!D6</f>
        <v>1</v>
      </c>
      <c r="O32" s="44">
        <f>N32*O31</f>
        <v>126.7</v>
      </c>
    </row>
    <row r="34" spans="1:15" x14ac:dyDescent="0.25">
      <c r="A34" s="51" t="s">
        <v>141</v>
      </c>
    </row>
    <row r="35" spans="1:15" ht="51" customHeight="1" x14ac:dyDescent="0.25">
      <c r="A35" s="42" t="s">
        <v>114</v>
      </c>
      <c r="B35" s="94" t="str">
        <f>B4</f>
        <v>Assistente de Relações Públicas</v>
      </c>
      <c r="C35" s="94"/>
      <c r="D35" s="94" t="str">
        <f>D4</f>
        <v>Redator</v>
      </c>
      <c r="E35" s="94"/>
      <c r="F35" s="94" t="str">
        <f>F4</f>
        <v>Editor</v>
      </c>
      <c r="G35" s="94"/>
      <c r="H35" s="94" t="str">
        <f>H4</f>
        <v>Designer Gráfico</v>
      </c>
      <c r="I35" s="94"/>
      <c r="J35" s="94" t="str">
        <f>J4</f>
        <v>Assistente Administrativo</v>
      </c>
      <c r="K35" s="94"/>
      <c r="L35" s="94" t="str">
        <f>L4</f>
        <v>Redator - acréscimo por 7 meses em anos eleitorais</v>
      </c>
      <c r="M35" s="94"/>
      <c r="N35" s="94" t="str">
        <f>N4</f>
        <v>Designer Gráfico - acréscimo por 7 meses em anos eleitorais</v>
      </c>
      <c r="O35" s="94"/>
    </row>
    <row r="36" spans="1:15" x14ac:dyDescent="0.25">
      <c r="A36" s="42" t="s">
        <v>128</v>
      </c>
      <c r="B36" s="43"/>
      <c r="C36" s="44">
        <f>C21</f>
        <v>9419</v>
      </c>
      <c r="D36" s="43"/>
      <c r="E36" s="44">
        <f t="shared" ref="E36" si="58">E21</f>
        <v>29134</v>
      </c>
      <c r="F36" s="43"/>
      <c r="G36" s="44">
        <f t="shared" ref="G36" si="59">G21</f>
        <v>16639</v>
      </c>
      <c r="H36" s="43"/>
      <c r="I36" s="44">
        <f t="shared" ref="I36" si="60">I21</f>
        <v>5542.5</v>
      </c>
      <c r="J36" s="43"/>
      <c r="K36" s="44">
        <f t="shared" ref="K36" si="61">K21</f>
        <v>3496.5</v>
      </c>
      <c r="L36" s="43"/>
      <c r="M36" s="44">
        <f t="shared" ref="M36" si="62">M21</f>
        <v>14567</v>
      </c>
      <c r="N36" s="43"/>
      <c r="O36" s="44">
        <f t="shared" ref="O36" si="63">O21</f>
        <v>5542.5</v>
      </c>
    </row>
    <row r="37" spans="1:15" x14ac:dyDescent="0.25">
      <c r="A37" s="42" t="s">
        <v>142</v>
      </c>
      <c r="B37" s="43"/>
      <c r="C37" s="44">
        <f>C32</f>
        <v>253.4</v>
      </c>
      <c r="D37" s="43"/>
      <c r="E37" s="44">
        <f t="shared" ref="E37" si="64">E32</f>
        <v>506.8</v>
      </c>
      <c r="F37" s="43"/>
      <c r="G37" s="44">
        <f t="shared" ref="G37" si="65">G32</f>
        <v>0</v>
      </c>
      <c r="H37" s="43"/>
      <c r="I37" s="44">
        <f t="shared" ref="I37" si="66">I32</f>
        <v>126.7</v>
      </c>
      <c r="J37" s="43"/>
      <c r="K37" s="44">
        <f t="shared" ref="K37" si="67">K32</f>
        <v>126.7</v>
      </c>
      <c r="L37" s="43"/>
      <c r="M37" s="44">
        <f t="shared" ref="M37" si="68">M32</f>
        <v>253.4</v>
      </c>
      <c r="N37" s="43"/>
      <c r="O37" s="44">
        <f t="shared" ref="O37" si="69">O32</f>
        <v>126.7</v>
      </c>
    </row>
    <row r="38" spans="1:15" x14ac:dyDescent="0.25">
      <c r="A38" s="42" t="s">
        <v>130</v>
      </c>
      <c r="B38" s="43"/>
      <c r="C38" s="44">
        <f>SUM(C36:C37)</f>
        <v>9672.4</v>
      </c>
      <c r="D38" s="43"/>
      <c r="E38" s="44">
        <f t="shared" ref="E38" si="70">SUM(E36:E37)</f>
        <v>29640.799999999999</v>
      </c>
      <c r="F38" s="43"/>
      <c r="G38" s="44">
        <f t="shared" ref="G38" si="71">SUM(G36:G37)</f>
        <v>16639</v>
      </c>
      <c r="H38" s="43"/>
      <c r="I38" s="44">
        <f t="shared" ref="I38" si="72">SUM(I36:I37)</f>
        <v>5669.2</v>
      </c>
      <c r="J38" s="43"/>
      <c r="K38" s="44">
        <f t="shared" ref="K38" si="73">SUM(K36:K37)</f>
        <v>3623.2</v>
      </c>
      <c r="L38" s="43"/>
      <c r="M38" s="44">
        <f t="shared" ref="M38" si="74">SUM(M36:M37)</f>
        <v>14820.4</v>
      </c>
      <c r="N38" s="43"/>
      <c r="O38" s="44">
        <f t="shared" ref="O38" si="75">SUM(O36:O37)</f>
        <v>5669.2</v>
      </c>
    </row>
    <row r="40" spans="1:15" x14ac:dyDescent="0.25">
      <c r="A40" s="51"/>
    </row>
    <row r="41" spans="1:15" x14ac:dyDescent="0.25">
      <c r="A41" s="93" t="s">
        <v>154</v>
      </c>
      <c r="B41" s="93"/>
      <c r="C41" s="62">
        <f>SUM(B38:O38)</f>
        <v>85734.199999999983</v>
      </c>
    </row>
    <row r="43" spans="1:15" x14ac:dyDescent="0.25">
      <c r="A43" s="39" t="s">
        <v>178</v>
      </c>
    </row>
  </sheetData>
  <mergeCells count="29">
    <mergeCell ref="J4:K4"/>
    <mergeCell ref="L4:M4"/>
    <mergeCell ref="N4:O4"/>
    <mergeCell ref="B17:C17"/>
    <mergeCell ref="D17:E17"/>
    <mergeCell ref="F17:G17"/>
    <mergeCell ref="H17:I17"/>
    <mergeCell ref="J17:K17"/>
    <mergeCell ref="B4:C4"/>
    <mergeCell ref="D4:E4"/>
    <mergeCell ref="F4:G4"/>
    <mergeCell ref="H4:I4"/>
    <mergeCell ref="L17:M17"/>
    <mergeCell ref="N17:O17"/>
    <mergeCell ref="B24:C24"/>
    <mergeCell ref="D24:E24"/>
    <mergeCell ref="F24:G24"/>
    <mergeCell ref="H24:I24"/>
    <mergeCell ref="J24:K24"/>
    <mergeCell ref="L24:M24"/>
    <mergeCell ref="A41:B41"/>
    <mergeCell ref="N24:O24"/>
    <mergeCell ref="B35:C35"/>
    <mergeCell ref="D35:E35"/>
    <mergeCell ref="F35:G35"/>
    <mergeCell ref="H35:I35"/>
    <mergeCell ref="J35:K35"/>
    <mergeCell ref="L35:M35"/>
    <mergeCell ref="N35:O35"/>
  </mergeCells>
  <pageMargins left="0.511811024" right="0.511811024" top="1.09375" bottom="0.78740157499999996" header="0.31496062000000002" footer="0.31496062000000002"/>
  <pageSetup paperSize="9" scale="63" fitToHeight="0" orientation="landscape" r:id="rId1"/>
  <headerFooter>
    <oddHeader>&amp;C&amp;G</oddHeader>
    <oddFooter>&amp;L&amp;"-,Negrito"Documento elaborado em &amp;D</oddFooter>
  </headerFooter>
  <rowBreaks count="1" manualBreakCount="1">
    <brk id="2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zoomScaleNormal="100" zoomScaleSheetLayoutView="100" workbookViewId="0">
      <selection activeCell="C27" sqref="C27"/>
    </sheetView>
  </sheetViews>
  <sheetFormatPr defaultRowHeight="15" x14ac:dyDescent="0.25"/>
  <cols>
    <col min="1" max="1" width="30.7109375" style="38" customWidth="1"/>
    <col min="2" max="3" width="10.7109375" style="38" customWidth="1"/>
    <col min="4" max="16384" width="9.140625" style="38"/>
  </cols>
  <sheetData>
    <row r="1" spans="1:3" x14ac:dyDescent="0.25">
      <c r="A1" s="59" t="s">
        <v>144</v>
      </c>
    </row>
    <row r="3" spans="1:3" x14ac:dyDescent="0.25">
      <c r="A3" s="60" t="s">
        <v>145</v>
      </c>
      <c r="B3" s="95"/>
      <c r="C3" s="96"/>
    </row>
    <row r="4" spans="1:3" x14ac:dyDescent="0.25">
      <c r="A4" s="54" t="s">
        <v>135</v>
      </c>
      <c r="B4" s="55"/>
      <c r="C4" s="56">
        <v>400</v>
      </c>
    </row>
    <row r="5" spans="1:3" x14ac:dyDescent="0.25">
      <c r="A5" s="54" t="s">
        <v>176</v>
      </c>
      <c r="B5" s="55"/>
      <c r="C5" s="56">
        <v>-10.4</v>
      </c>
    </row>
    <row r="6" spans="1:3" x14ac:dyDescent="0.25">
      <c r="A6" s="54" t="s">
        <v>117</v>
      </c>
      <c r="B6" s="55"/>
      <c r="C6" s="56">
        <f>SUM(C4:C5)</f>
        <v>389.6</v>
      </c>
    </row>
    <row r="7" spans="1:3" x14ac:dyDescent="0.25">
      <c r="A7" s="54" t="s">
        <v>118</v>
      </c>
      <c r="B7" s="57">
        <f>redator!C136</f>
        <v>0.21839</v>
      </c>
      <c r="C7" s="56">
        <f>ROUND(B7*C6,2)</f>
        <v>85.08</v>
      </c>
    </row>
    <row r="8" spans="1:3" x14ac:dyDescent="0.25">
      <c r="A8" s="54" t="s">
        <v>147</v>
      </c>
      <c r="B8" s="55"/>
      <c r="C8" s="56">
        <f>SUM(C6:C7)</f>
        <v>474.68</v>
      </c>
    </row>
    <row r="9" spans="1:3" x14ac:dyDescent="0.25">
      <c r="A9" s="54" t="s">
        <v>153</v>
      </c>
      <c r="B9" s="55">
        <v>20</v>
      </c>
      <c r="C9" s="56">
        <f>B9*C8</f>
        <v>9493.6</v>
      </c>
    </row>
    <row r="11" spans="1:3" x14ac:dyDescent="0.25">
      <c r="A11" s="60" t="s">
        <v>149</v>
      </c>
      <c r="B11" s="95" t="s">
        <v>148</v>
      </c>
      <c r="C11" s="96"/>
    </row>
    <row r="12" spans="1:3" x14ac:dyDescent="0.25">
      <c r="A12" s="54" t="s">
        <v>150</v>
      </c>
      <c r="B12" s="55"/>
      <c r="C12" s="56">
        <v>1000</v>
      </c>
    </row>
    <row r="13" spans="1:3" x14ac:dyDescent="0.25">
      <c r="A13" s="54" t="s">
        <v>118</v>
      </c>
      <c r="B13" s="57">
        <f>redator!C136</f>
        <v>0.21839</v>
      </c>
      <c r="C13" s="56">
        <f>ROUND(B13*C12,2)</f>
        <v>218.39</v>
      </c>
    </row>
    <row r="14" spans="1:3" x14ac:dyDescent="0.25">
      <c r="A14" s="54" t="s">
        <v>151</v>
      </c>
      <c r="B14" s="55"/>
      <c r="C14" s="56">
        <f>SUM(C12:C13)</f>
        <v>1218.3899999999999</v>
      </c>
    </row>
    <row r="15" spans="1:3" x14ac:dyDescent="0.25">
      <c r="A15" s="54" t="s">
        <v>152</v>
      </c>
      <c r="B15" s="55">
        <v>10</v>
      </c>
      <c r="C15" s="56">
        <f>B15*C14</f>
        <v>12183.899999999998</v>
      </c>
    </row>
    <row r="17" spans="1:1" x14ac:dyDescent="0.25">
      <c r="A17" s="38" t="s">
        <v>177</v>
      </c>
    </row>
  </sheetData>
  <mergeCells count="2">
    <mergeCell ref="B3:C3"/>
    <mergeCell ref="B11:C11"/>
  </mergeCells>
  <pageMargins left="0.511811024" right="0.511811024" top="1.09375" bottom="0.78740157499999996" header="0.31496062000000002" footer="0.31496062000000002"/>
  <pageSetup paperSize="9" fitToHeight="0" orientation="portrait" r:id="rId1"/>
  <headerFooter>
    <oddHeader>&amp;C&amp;G</oddHeader>
    <oddFooter>&amp;L&amp;"-,Negrito"Documento elaborado em 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2</vt:i4>
      </vt:variant>
    </vt:vector>
  </HeadingPairs>
  <TitlesOfParts>
    <vt:vector size="12" baseType="lpstr">
      <vt:lpstr>assistenterp</vt:lpstr>
      <vt:lpstr>redator</vt:lpstr>
      <vt:lpstr>editor</vt:lpstr>
      <vt:lpstr>designer</vt:lpstr>
      <vt:lpstr>assistenteadm</vt:lpstr>
      <vt:lpstr>redatorad</vt:lpstr>
      <vt:lpstr>designerad</vt:lpstr>
      <vt:lpstr>horaextra</vt:lpstr>
      <vt:lpstr>diáriasdeslocamentos</vt:lpstr>
      <vt:lpstr>total</vt:lpstr>
      <vt:lpstr>total!Area_de_impressao</vt:lpstr>
      <vt:lpstr>horaextra!Titulos_de_impressao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2024-07-20T17:41:04Z</cp:lastPrinted>
  <dcterms:created xsi:type="dcterms:W3CDTF">2019-01-29T18:54:26Z</dcterms:created>
  <dcterms:modified xsi:type="dcterms:W3CDTF">2024-12-11T16:59:45Z</dcterms:modified>
</cp:coreProperties>
</file>